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5480" windowHeight="10695" tabRatio="815" firstSheet="1" activeTab="1"/>
  </bookViews>
  <sheets>
    <sheet name="UC" sheetId="15" state="veryHidden" r:id="rId1"/>
    <sheet name="版权声明" sheetId="20" r:id="rId2"/>
    <sheet name="版权声明(空)" sheetId="21" state="veryHidden" r:id="rId3"/>
    <sheet name="核算表" sheetId="22" r:id="rId4"/>
  </sheets>
  <definedNames>
    <definedName name="_xlnm.Print_Area" localSheetId="3">核算表!$B$2:$G$39</definedName>
    <definedName name="供应商" comment="有效序列105">#REF!</definedName>
    <definedName name="客户" comment="有效序列10">#REF!</definedName>
    <definedName name="库存商品名称" comment="有效数列10">#REF!</definedName>
    <definedName name="原材料名称" comment="有效数列200">#REF!</definedName>
  </definedNames>
  <calcPr calcId="125725"/>
</workbook>
</file>

<file path=xl/calcChain.xml><?xml version="1.0" encoding="utf-8"?>
<calcChain xmlns="http://schemas.openxmlformats.org/spreadsheetml/2006/main">
  <c r="F33" i="22"/>
  <c r="F34" s="1"/>
  <c r="F35" s="1"/>
  <c r="F25"/>
  <c r="F20"/>
  <c r="D28" s="1"/>
  <c r="F28" s="1"/>
  <c r="F10"/>
  <c r="F11" s="1"/>
  <c r="F12" s="1"/>
  <c r="F13" s="1"/>
  <c r="F14" s="1"/>
  <c r="F15" s="1"/>
  <c r="F16" s="1"/>
  <c r="F17" s="1"/>
  <c r="D5"/>
  <c r="F5" s="1"/>
  <c r="E5" l="1"/>
  <c r="AB25" i="20" l="1"/>
  <c r="AC13"/>
  <c r="AC14"/>
  <c r="AC15"/>
  <c r="AC16"/>
  <c r="AC17"/>
  <c r="Z18"/>
  <c r="AA18"/>
  <c r="Z12"/>
  <c r="P30"/>
  <c r="O28"/>
  <c r="W29"/>
  <c r="W30"/>
  <c r="O30"/>
  <c r="P29"/>
  <c r="X29"/>
  <c r="X30"/>
  <c r="O29"/>
  <c r="AC1033" i="15"/>
  <c r="AC1034"/>
  <c r="AC1035"/>
  <c r="AC1036"/>
  <c r="AC1037"/>
  <c r="AC1038"/>
  <c r="AC1039"/>
  <c r="AC1040"/>
  <c r="AC1032"/>
  <c r="AC1023"/>
  <c r="AC1024"/>
  <c r="AC1025"/>
  <c r="AC1026"/>
  <c r="AC1027"/>
  <c r="AC1028"/>
  <c r="AC1029"/>
  <c r="AC1030"/>
  <c r="AC1022"/>
  <c r="AC1013"/>
  <c r="AC1014"/>
  <c r="AC1015"/>
  <c r="AC1016"/>
  <c r="AC1017"/>
  <c r="AC1018"/>
  <c r="AC1019"/>
  <c r="AC1020"/>
  <c r="AC1012"/>
  <c r="AC1003"/>
  <c r="AC1004"/>
  <c r="AC1005"/>
  <c r="AC1006"/>
  <c r="AC1007"/>
  <c r="AC1008"/>
  <c r="AC1009"/>
  <c r="AC1010"/>
  <c r="AC1002"/>
  <c r="AD998"/>
  <c r="AE998" s="1"/>
  <c r="AD3" i="20"/>
  <c r="B2" i="15"/>
  <c r="P28" i="20"/>
  <c r="AE27"/>
  <c r="AD27"/>
  <c r="X27"/>
  <c r="W27"/>
  <c r="P27"/>
  <c r="O27"/>
  <c r="W28"/>
  <c r="AF25"/>
  <c r="AE25"/>
  <c r="AD25"/>
  <c r="N24"/>
  <c r="N25"/>
  <c r="Q30"/>
  <c r="E7"/>
  <c r="AB7" s="1"/>
  <c r="AC7" s="1"/>
  <c r="AC8" s="1"/>
  <c r="AD8" s="1"/>
  <c r="AD6" s="1"/>
  <c r="AB6"/>
  <c r="AC6"/>
  <c r="AA6"/>
  <c r="AB998" i="15"/>
  <c r="AB1017" s="1"/>
  <c r="AE1017" s="1"/>
  <c r="AB1012"/>
  <c r="AE1012" s="1"/>
  <c r="AB1006"/>
  <c r="AE1006" s="1"/>
  <c r="AB1003"/>
  <c r="AE1003" s="1"/>
  <c r="AB1008"/>
  <c r="AE1008" s="1"/>
  <c r="AB1034"/>
  <c r="AE1034" s="1"/>
  <c r="AB1015"/>
  <c r="AE1015" s="1"/>
  <c r="AB1019"/>
  <c r="AE1019" s="1"/>
  <c r="AB1005"/>
  <c r="AE1005" s="1"/>
  <c r="AB1007"/>
  <c r="AE1007" s="1"/>
  <c r="AB1028"/>
  <c r="AE1028" s="1"/>
  <c r="AB1027"/>
  <c r="AE1027" s="1"/>
  <c r="X28" i="20"/>
  <c r="Q27"/>
  <c r="U27"/>
  <c r="U29"/>
  <c r="U30"/>
  <c r="AB1038" i="15"/>
  <c r="AE1038"/>
  <c r="AB1004"/>
  <c r="AE1004" s="1"/>
  <c r="AB1037"/>
  <c r="AE1037"/>
  <c r="AB1011"/>
  <c r="AE1011" s="1"/>
  <c r="AB1013"/>
  <c r="AE1013"/>
  <c r="AB1024"/>
  <c r="AE1024" s="1"/>
  <c r="AB1010"/>
  <c r="AE1010"/>
  <c r="AB1009"/>
  <c r="AE1009" s="1"/>
  <c r="AB1025"/>
  <c r="AE1025"/>
  <c r="AB1002"/>
  <c r="AE1002" s="1"/>
  <c r="AB1035"/>
  <c r="AE1035"/>
  <c r="AB1018"/>
  <c r="AE1018" s="1"/>
  <c r="AB1033"/>
  <c r="AE1033"/>
  <c r="AB1039"/>
  <c r="AE1039" s="1"/>
  <c r="AB1029"/>
  <c r="AE1029"/>
  <c r="AB1026"/>
  <c r="AE1026" s="1"/>
  <c r="AB1001"/>
  <c r="AE1001"/>
  <c r="AB1021"/>
  <c r="AE1021" s="1"/>
  <c r="AC18" i="20"/>
  <c r="Y28"/>
  <c r="P26"/>
  <c r="AF27"/>
  <c r="AC27"/>
  <c r="Y27"/>
  <c r="Y29"/>
  <c r="Y30"/>
  <c r="T27"/>
  <c r="Q29"/>
  <c r="AB8"/>
  <c r="Q26"/>
  <c r="U28"/>
  <c r="T28"/>
  <c r="S28"/>
  <c r="O26"/>
  <c r="T29"/>
  <c r="T30"/>
  <c r="S27"/>
  <c r="S29"/>
  <c r="S30"/>
  <c r="AA8" l="1"/>
  <c r="C8"/>
  <c r="AC25"/>
  <c r="AA25" s="1"/>
  <c r="AG25" s="1"/>
  <c r="AB1022" i="15"/>
  <c r="AE1022" s="1"/>
  <c r="AB1014"/>
  <c r="AE1014" s="1"/>
  <c r="AB26" i="20" s="1"/>
  <c r="AA27" s="1"/>
  <c r="AB1032" i="15"/>
  <c r="AE1032" s="1"/>
  <c r="AB1031"/>
  <c r="AE1031" s="1"/>
  <c r="AB1016"/>
  <c r="AE1016" s="1"/>
  <c r="AB1036"/>
  <c r="AE1036" s="1"/>
  <c r="AB1020"/>
  <c r="AE1020" s="1"/>
  <c r="AB1030"/>
  <c r="AE1030" s="1"/>
  <c r="AB1023"/>
  <c r="AE1023" s="1"/>
  <c r="AB1040"/>
  <c r="AE1040" s="1"/>
  <c r="AA26" i="20" l="1"/>
  <c r="AA4" s="1"/>
  <c r="AB4" s="1"/>
  <c r="AB22"/>
  <c r="AC4" s="1"/>
  <c r="AD4" s="1"/>
  <c r="BB4" s="1"/>
  <c r="E26"/>
  <c r="AA24" l="1"/>
  <c r="AA3"/>
  <c r="AA22"/>
  <c r="E25" s="1"/>
  <c r="G6"/>
  <c r="AB27"/>
  <c r="G25"/>
  <c r="A1"/>
  <c r="Z3" s="1"/>
  <c r="L31" l="1"/>
  <c r="AA1" i="15"/>
  <c r="Z4" i="20"/>
  <c r="BB3"/>
  <c r="AD22" l="1"/>
  <c r="AD18"/>
  <c r="AD17"/>
  <c r="AD21"/>
  <c r="AD19"/>
  <c r="AD20"/>
  <c r="C31"/>
</calcChain>
</file>

<file path=xl/sharedStrings.xml><?xml version="1.0" encoding="utf-8"?>
<sst xmlns="http://schemas.openxmlformats.org/spreadsheetml/2006/main" count="293" uniqueCount="157">
  <si>
    <t>*</t>
  </si>
  <si>
    <t>软件编号</t>
  </si>
  <si>
    <t>软件名称</t>
  </si>
  <si>
    <t xml:space="preserve">官方版权声明                       </t>
  </si>
  <si>
    <t># 示意图表 #</t>
  </si>
  <si>
    <t>版权声明</t>
  </si>
  <si>
    <t xml:space="preserve"> 表内单元格</t>
  </si>
  <si>
    <t>开发团队</t>
  </si>
  <si>
    <t>Zhanglb's Design Workroom</t>
  </si>
  <si>
    <t xml:space="preserve"> 跨区单元格</t>
  </si>
  <si>
    <t>官方首页</t>
  </si>
  <si>
    <t xml:space="preserve"> 登记单元格</t>
  </si>
  <si>
    <t>公众微信</t>
  </si>
  <si>
    <t xml:space="preserve"> 取数单元格</t>
  </si>
  <si>
    <t>官方群号</t>
  </si>
  <si>
    <t xml:space="preserve"> 不变单元格</t>
  </si>
  <si>
    <t>官方邮箱</t>
  </si>
  <si>
    <t>newdaxie@foxmail.com</t>
  </si>
  <si>
    <t>销售热线</t>
  </si>
  <si>
    <t>微信咨询</t>
  </si>
  <si>
    <t>在线咨询</t>
  </si>
  <si>
    <t>按自然月期末日结账（默认值）</t>
  </si>
  <si>
    <t>按用户选择期末结账日（默认值）</t>
  </si>
  <si>
    <t>用户注册信息</t>
  </si>
  <si>
    <t>中间变量日期核算</t>
  </si>
  <si>
    <t>备注：如果自然月关账单元格请留空，千万不要填写“31”</t>
  </si>
  <si>
    <t>服务期限</t>
  </si>
  <si>
    <t>天</t>
  </si>
  <si>
    <t>年</t>
  </si>
  <si>
    <t>月</t>
  </si>
  <si>
    <t>日</t>
  </si>
  <si>
    <t>报表开始日期/格式化</t>
  </si>
  <si>
    <t>↓ 关账日 ↓</t>
  </si>
  <si>
    <t>报表结束日期/格式化</t>
  </si>
  <si>
    <t>用户授权</t>
  </si>
  <si>
    <t>上上末</t>
  </si>
  <si>
    <t>注册单位</t>
  </si>
  <si>
    <t>上期末</t>
  </si>
  <si>
    <t>← 本期变量 →</t>
  </si>
  <si>
    <t>本月初</t>
  </si>
  <si>
    <t>← 上月始末 →</t>
  </si>
  <si>
    <t>核算期间</t>
  </si>
  <si>
    <t>本月末</t>
  </si>
  <si>
    <t>← 本月始末 →</t>
  </si>
  <si>
    <t>长日期</t>
  </si>
  <si>
    <t>自助关账日</t>
  </si>
  <si>
    <t>序号</t>
  </si>
  <si>
    <t>系统年度</t>
  </si>
  <si>
    <t>企业全称</t>
  </si>
  <si>
    <t>注册年度</t>
  </si>
  <si>
    <t>用户ID</t>
  </si>
  <si>
    <t>授权码</t>
  </si>
  <si>
    <t>授权版本</t>
  </si>
  <si>
    <t>授权代码</t>
  </si>
  <si>
    <t>有效期限</t>
  </si>
  <si>
    <t>备注说明</t>
  </si>
  <si>
    <t>0000-0000-0000-0000</t>
  </si>
  <si>
    <t>未注册</t>
  </si>
  <si>
    <t>新大榭论坛</t>
  </si>
  <si>
    <t>免费版</t>
  </si>
  <si>
    <t>有体验版用户名称，有体验期，一般为3-4个月</t>
  </si>
  <si>
    <t>有体验版用户名称，有体验期，一般为3-5个月</t>
  </si>
  <si>
    <t>有体验版用户名称，有体验期，一般为3-6个月</t>
  </si>
  <si>
    <t>有体验版用户名称，但时间已经过期失效</t>
  </si>
  <si>
    <t>商业版</t>
  </si>
  <si>
    <t>有体验版用户名称，有体验期，一般为3-12个月</t>
  </si>
  <si>
    <t>正式注册用户名，但时间已过期失效，停止服务</t>
  </si>
  <si>
    <t>正式注册用户名，且都在注册服务期限内</t>
  </si>
  <si>
    <t>官方抖音</t>
    <phoneticPr fontId="2" type="noConversion"/>
  </si>
  <si>
    <t>原创作者</t>
    <phoneticPr fontId="2" type="noConversion"/>
  </si>
  <si>
    <t>http://www.daxie.net.cn/</t>
    <phoneticPr fontId="2" type="noConversion"/>
  </si>
  <si>
    <r>
      <rPr>
        <b/>
        <sz val="10"/>
        <color indexed="56"/>
        <rFont val="Arial"/>
        <family val="2"/>
      </rPr>
      <t>82064486</t>
    </r>
    <r>
      <rPr>
        <sz val="10"/>
        <rFont val="宋体"/>
        <charset val="134"/>
      </rPr>
      <t>│</t>
    </r>
    <r>
      <rPr>
        <sz val="9"/>
        <color indexed="8"/>
        <rFont val="微软雅黑"/>
        <family val="2"/>
        <charset val="134"/>
      </rPr>
      <t>Excel学习交流QQ群</t>
    </r>
    <phoneticPr fontId="2" type="noConversion"/>
  </si>
  <si>
    <t>最新版本</t>
    <phoneticPr fontId="2" type="noConversion"/>
  </si>
  <si>
    <t>当前版本</t>
    <phoneticPr fontId="2" type="noConversion"/>
  </si>
  <si>
    <t>孵化平台</t>
    <phoneticPr fontId="2" type="noConversion"/>
  </si>
  <si>
    <t>http://lab.daxie.net.cn/</t>
    <phoneticPr fontId="2" type="noConversion"/>
  </si>
  <si>
    <r>
      <rPr>
        <sz val="10"/>
        <color indexed="10"/>
        <rFont val="微软雅黑"/>
        <family val="2"/>
        <charset val="134"/>
      </rPr>
      <t>新大榭传媒</t>
    </r>
    <r>
      <rPr>
        <sz val="10"/>
        <color indexed="8"/>
        <rFont val="宋体"/>
        <charset val="134"/>
      </rPr>
      <t>（抖音帐号:</t>
    </r>
    <r>
      <rPr>
        <sz val="10"/>
        <color indexed="10"/>
        <rFont val="Arial"/>
        <family val="2"/>
      </rPr>
      <t>newdaxie</t>
    </r>
    <r>
      <rPr>
        <sz val="10"/>
        <color indexed="8"/>
        <rFont val="宋体"/>
        <charset val="134"/>
      </rPr>
      <t>）</t>
    </r>
    <phoneticPr fontId="2" type="noConversion"/>
  </si>
  <si>
    <r>
      <rPr>
        <b/>
        <sz val="10"/>
        <color indexed="30"/>
        <rFont val="Arial"/>
        <family val="2"/>
      </rPr>
      <t>344388696</t>
    </r>
    <r>
      <rPr>
        <sz val="10"/>
        <color indexed="8"/>
        <rFont val="宋体"/>
        <charset val="134"/>
      </rPr>
      <t>（软件授权</t>
    </r>
    <r>
      <rPr>
        <sz val="10"/>
        <color indexed="8"/>
        <rFont val="宋体"/>
        <charset val="134"/>
      </rPr>
      <t>│</t>
    </r>
    <r>
      <rPr>
        <sz val="10"/>
        <color indexed="8"/>
        <rFont val="宋体"/>
        <charset val="134"/>
      </rPr>
      <t>定制开发）</t>
    </r>
    <phoneticPr fontId="2" type="noConversion"/>
  </si>
  <si>
    <r>
      <rPr>
        <b/>
        <sz val="10"/>
        <color indexed="17"/>
        <rFont val="Arial"/>
        <family val="2"/>
      </rPr>
      <t>newdaxie</t>
    </r>
    <r>
      <rPr>
        <sz val="10"/>
        <color indexed="8"/>
        <rFont val="宋体"/>
        <charset val="134"/>
      </rPr>
      <t>（商务联系</t>
    </r>
    <r>
      <rPr>
        <sz val="10"/>
        <color indexed="8"/>
        <rFont val="宋体"/>
        <charset val="134"/>
      </rPr>
      <t>│</t>
    </r>
    <r>
      <rPr>
        <sz val="10"/>
        <color indexed="8"/>
        <rFont val="宋体"/>
        <charset val="134"/>
      </rPr>
      <t>非诚勿扰）</t>
    </r>
    <phoneticPr fontId="2" type="noConversion"/>
  </si>
  <si>
    <r>
      <rPr>
        <sz val="10"/>
        <color indexed="19"/>
        <rFont val="宋体"/>
        <charset val="134"/>
      </rPr>
      <t>软件版权归</t>
    </r>
    <r>
      <rPr>
        <sz val="10"/>
        <color indexed="8"/>
        <rFont val="宋体"/>
        <charset val="134"/>
      </rPr>
      <t xml:space="preserve"> </t>
    </r>
    <r>
      <rPr>
        <b/>
        <sz val="11"/>
        <color indexed="12"/>
        <rFont val="楷体"/>
        <family val="3"/>
        <charset val="134"/>
      </rPr>
      <t>新大榭论坛</t>
    </r>
    <r>
      <rPr>
        <sz val="6"/>
        <color indexed="12"/>
        <rFont val="宋体"/>
        <charset val="134"/>
      </rPr>
      <t xml:space="preserve"> </t>
    </r>
    <r>
      <rPr>
        <vertAlign val="superscript"/>
        <sz val="10"/>
        <color indexed="10"/>
        <rFont val="宋体"/>
        <charset val="134"/>
      </rPr>
      <t xml:space="preserve">TM </t>
    </r>
    <r>
      <rPr>
        <sz val="10"/>
        <color indexed="19"/>
        <rFont val="宋体"/>
        <charset val="134"/>
      </rPr>
      <t>所有</t>
    </r>
    <phoneticPr fontId="2" type="noConversion"/>
  </si>
  <si>
    <t>操作人员</t>
    <phoneticPr fontId="2" type="noConversion"/>
  </si>
  <si>
    <t>没有用户ID记录</t>
    <phoneticPr fontId="2" type="noConversion"/>
  </si>
  <si>
    <t xml:space="preserve"> 空白单元格</t>
  </si>
  <si>
    <t>宁波市集隆金属制品有限公司</t>
    <phoneticPr fontId="2" type="noConversion"/>
  </si>
  <si>
    <r>
      <t xml:space="preserve"> PS: 报表日期模块化插件 V1.0 For Link 版 - by 新大榭工作室  张黎斌  2020.03.01 (表内逻辑关联)  QQ:</t>
    </r>
    <r>
      <rPr>
        <sz val="9"/>
        <color indexed="9"/>
        <rFont val="Arial"/>
        <family val="2"/>
      </rPr>
      <t>344388696</t>
    </r>
    <r>
      <rPr>
        <sz val="9"/>
        <color indexed="9"/>
        <rFont val="宋体"/>
        <charset val="134"/>
      </rPr>
      <t xml:space="preserve">  Tel:</t>
    </r>
    <r>
      <rPr>
        <sz val="9"/>
        <color indexed="9"/>
        <rFont val="Arial"/>
        <family val="2"/>
      </rPr>
      <t>13566035181</t>
    </r>
    <phoneticPr fontId="2" type="noConversion"/>
  </si>
  <si>
    <t>授权码</t>
    <phoneticPr fontId="2" type="noConversion"/>
  </si>
  <si>
    <t>信息已清空</t>
    <phoneticPr fontId="2" type="noConversion"/>
  </si>
  <si>
    <t>-</t>
    <phoneticPr fontId="2" type="noConversion"/>
  </si>
  <si>
    <t>信息已删除！</t>
    <phoneticPr fontId="2" type="noConversion"/>
  </si>
  <si>
    <t>8E64-50FE-61B0-9B13</t>
  </si>
  <si>
    <t>95FA-F17F-3649-D41D</t>
  </si>
  <si>
    <t>E948-0EA4-09A6-ED69</t>
  </si>
  <si>
    <t>28D1-960B-F1FE-FECB</t>
  </si>
  <si>
    <t>6A46-15C6-BFF4-3179</t>
  </si>
  <si>
    <t>1769-11A5-D819-EB04</t>
  </si>
  <si>
    <t>517B-36A7-EE6C-91E9</t>
  </si>
  <si>
    <t>A5F0-A8FC-ECE5-34BC</t>
  </si>
  <si>
    <t>5E88-2ABF-3246-CC06</t>
  </si>
  <si>
    <t>2889-E7C7-089A-0DAF</t>
  </si>
  <si>
    <r>
      <rPr>
        <b/>
        <sz val="11"/>
        <color indexed="60"/>
        <rFont val="Arial"/>
        <family val="2"/>
      </rPr>
      <t>13566035181</t>
    </r>
    <r>
      <rPr>
        <sz val="10"/>
        <color indexed="8"/>
        <rFont val="宋体"/>
        <charset val="134"/>
      </rPr>
      <t xml:space="preserve">（大榭网 </t>
    </r>
    <r>
      <rPr>
        <b/>
        <sz val="10"/>
        <color indexed="36"/>
        <rFont val="Arial"/>
        <family val="2"/>
      </rPr>
      <t>665181</t>
    </r>
    <r>
      <rPr>
        <sz val="10"/>
        <color indexed="8"/>
        <rFont val="宋体"/>
        <charset val="134"/>
      </rPr>
      <t>）</t>
    </r>
    <phoneticPr fontId="2" type="noConversion"/>
  </si>
  <si>
    <r>
      <rPr>
        <sz val="10"/>
        <color indexed="30"/>
        <rFont val="黑体"/>
        <family val="3"/>
        <charset val="134"/>
      </rPr>
      <t>新大榭论坛</t>
    </r>
    <r>
      <rPr>
        <sz val="10"/>
        <color indexed="8"/>
        <rFont val="宋体"/>
        <charset val="134"/>
      </rPr>
      <t>（</t>
    </r>
    <r>
      <rPr>
        <sz val="9"/>
        <color indexed="8"/>
        <rFont val="宋体"/>
        <charset val="134"/>
      </rPr>
      <t>微信帐号:</t>
    </r>
    <r>
      <rPr>
        <sz val="10"/>
        <color indexed="30"/>
        <rFont val="Arial"/>
        <family val="2"/>
      </rPr>
      <t>daxiebbs</t>
    </r>
    <r>
      <rPr>
        <sz val="10"/>
        <color indexed="8"/>
        <rFont val="宋体"/>
        <charset val="134"/>
      </rPr>
      <t>）</t>
    </r>
    <phoneticPr fontId="2" type="noConversion"/>
  </si>
  <si>
    <r>
      <rPr>
        <sz val="11"/>
        <color indexed="8"/>
        <rFont val="华文行楷"/>
        <charset val="134"/>
      </rPr>
      <t>张黎斌</t>
    </r>
    <r>
      <rPr>
        <sz val="10"/>
        <color indexed="8"/>
        <rFont val="宋体"/>
        <charset val="134"/>
      </rPr>
      <t>│</t>
    </r>
    <r>
      <rPr>
        <sz val="10"/>
        <color indexed="8"/>
        <rFont val="微软雅黑"/>
        <family val="2"/>
        <charset val="134"/>
      </rPr>
      <t>newdaxie</t>
    </r>
    <r>
      <rPr>
        <sz val="10"/>
        <color indexed="8"/>
        <rFont val="楷体"/>
        <family val="3"/>
        <charset val="134"/>
      </rPr>
      <t>（网名昵称）</t>
    </r>
    <phoneticPr fontId="2" type="noConversion"/>
  </si>
  <si>
    <t>部门</t>
    <phoneticPr fontId="2" type="noConversion"/>
  </si>
  <si>
    <t>新大榭</t>
    <phoneticPr fontId="2" type="noConversion"/>
  </si>
  <si>
    <t>Free-0135-6603-5181</t>
    <phoneticPr fontId="2" type="noConversion"/>
  </si>
  <si>
    <t>Free-0135-6603-5181</t>
    <phoneticPr fontId="2" type="noConversion"/>
  </si>
  <si>
    <t>新大榭工作室</t>
    <phoneticPr fontId="2" type="noConversion"/>
  </si>
  <si>
    <t>宁波市集隆金属制品有限公司</t>
    <phoneticPr fontId="2" type="noConversion"/>
  </si>
  <si>
    <t>推荐用户“1”/ 0</t>
    <phoneticPr fontId="2" type="noConversion"/>
  </si>
  <si>
    <t>临时授权</t>
    <phoneticPr fontId="2" type="noConversion"/>
  </si>
  <si>
    <t>SN</t>
    <phoneticPr fontId="2" type="noConversion"/>
  </si>
  <si>
    <t>*</t>
    <phoneticPr fontId="2" type="noConversion"/>
  </si>
  <si>
    <t>6258546927512454</t>
    <phoneticPr fontId="2" type="noConversion"/>
  </si>
  <si>
    <t>6258763422126454</t>
    <phoneticPr fontId="2" type="noConversion"/>
  </si>
  <si>
    <t>6525748596547824</t>
    <phoneticPr fontId="2" type="noConversion"/>
  </si>
  <si>
    <t>6897135924266645</t>
    <phoneticPr fontId="2" type="noConversion"/>
  </si>
  <si>
    <t>6257857463154854</t>
    <phoneticPr fontId="2" type="noConversion"/>
  </si>
  <si>
    <t>新大榭工作室</t>
    <phoneticPr fontId="2" type="noConversion"/>
  </si>
  <si>
    <t>法务部</t>
    <phoneticPr fontId="2" type="noConversion"/>
  </si>
  <si>
    <r>
      <rPr>
        <sz val="11"/>
        <rFont val="宋体"/>
        <charset val="134"/>
      </rPr>
      <t>8171</t>
    </r>
    <r>
      <rPr>
        <sz val="8"/>
        <color indexed="23"/>
        <rFont val="宋体"/>
        <charset val="134"/>
      </rPr>
      <t>│</t>
    </r>
    <r>
      <rPr>
        <sz val="11"/>
        <rFont val="宋体"/>
        <charset val="134"/>
      </rPr>
      <t>20230201SR08171</t>
    </r>
    <phoneticPr fontId="2" type="noConversion"/>
  </si>
  <si>
    <t>Free V2.1.23.0504</t>
    <phoneticPr fontId="2" type="noConversion"/>
  </si>
  <si>
    <t>*</t>
    <phoneticPr fontId="2" type="noConversion"/>
  </si>
  <si>
    <t>// 到期后新增30日合法授权 //</t>
    <phoneticPr fontId="2" type="noConversion"/>
  </si>
  <si>
    <t>V6.8.23.0101</t>
    <phoneticPr fontId="2" type="noConversion"/>
  </si>
  <si>
    <t>张黎斌</t>
    <phoneticPr fontId="2" type="noConversion"/>
  </si>
  <si>
    <t>诉讼标的金额</t>
    <phoneticPr fontId="112" type="noConversion"/>
  </si>
  <si>
    <t>普通程序审理</t>
    <phoneticPr fontId="112" type="noConversion"/>
  </si>
  <si>
    <t>简易程序审理</t>
    <phoneticPr fontId="112" type="noConversion"/>
  </si>
  <si>
    <t>支付令受理费</t>
    <phoneticPr fontId="112" type="noConversion"/>
  </si>
  <si>
    <t>累进比例核算</t>
    <phoneticPr fontId="112" type="noConversion"/>
  </si>
  <si>
    <t>金额/比列</t>
    <phoneticPr fontId="112" type="noConversion"/>
  </si>
  <si>
    <t>速算扣除基数</t>
    <phoneticPr fontId="112" type="noConversion"/>
  </si>
  <si>
    <t>速算扣除额</t>
    <phoneticPr fontId="112" type="noConversion"/>
  </si>
  <si>
    <t>X&lt;= 1万元</t>
    <phoneticPr fontId="112" type="noConversion"/>
  </si>
  <si>
    <t>50 元</t>
    <phoneticPr fontId="112" type="noConversion"/>
  </si>
  <si>
    <t>1万元 &lt;X&lt;= 10万元</t>
    <phoneticPr fontId="112" type="noConversion"/>
  </si>
  <si>
    <t>10万元 &lt;X&lt;= 20万元</t>
    <phoneticPr fontId="112" type="noConversion"/>
  </si>
  <si>
    <t>20万元 &lt;X&lt;= 50万元</t>
    <phoneticPr fontId="112" type="noConversion"/>
  </si>
  <si>
    <t>50万元 &lt;X&lt;= 100万元</t>
    <phoneticPr fontId="112" type="noConversion"/>
  </si>
  <si>
    <t>100万元 &lt;X&lt;= 200万元</t>
    <phoneticPr fontId="112" type="noConversion"/>
  </si>
  <si>
    <t>200万元 &lt;X&lt;= 500万元</t>
    <phoneticPr fontId="112" type="noConversion"/>
  </si>
  <si>
    <t>500万元 &lt;X&lt;= 1000万元</t>
    <phoneticPr fontId="112" type="noConversion"/>
  </si>
  <si>
    <t>1000万元 &lt;X&lt;= 2000万元</t>
    <phoneticPr fontId="112" type="noConversion"/>
  </si>
  <si>
    <t>X&gt; 2000万元</t>
    <phoneticPr fontId="112" type="noConversion"/>
  </si>
  <si>
    <t>是否申请财产保全</t>
    <phoneticPr fontId="112" type="noConversion"/>
  </si>
  <si>
    <t>保全申请费</t>
    <phoneticPr fontId="112" type="noConversion"/>
  </si>
  <si>
    <t>X&lt;= 0.1万元</t>
    <phoneticPr fontId="112" type="noConversion"/>
  </si>
  <si>
    <t>30 元</t>
    <phoneticPr fontId="112" type="noConversion"/>
  </si>
  <si>
    <t>0.1万元 &lt;X&lt;= 10万元</t>
    <phoneticPr fontId="112" type="noConversion"/>
  </si>
  <si>
    <t>X&gt; 10万元</t>
    <phoneticPr fontId="112" type="noConversion"/>
  </si>
  <si>
    <t>申请强制执行金额</t>
    <phoneticPr fontId="112" type="noConversion"/>
  </si>
  <si>
    <t>执行费</t>
    <phoneticPr fontId="112" type="noConversion"/>
  </si>
  <si>
    <t>1万元 &lt;X&lt;= 50万元</t>
    <phoneticPr fontId="112" type="noConversion"/>
  </si>
  <si>
    <t>50万元 &lt;X&lt;= 500万元</t>
    <phoneticPr fontId="112" type="noConversion"/>
  </si>
  <si>
    <t>X&gt; 1000万元</t>
    <phoneticPr fontId="112" type="noConversion"/>
  </si>
  <si>
    <t>是</t>
  </si>
  <si>
    <t>人民法院诉讼费用核算表</t>
    <phoneticPr fontId="2" type="noConversion"/>
  </si>
</sst>
</file>

<file path=xl/styles.xml><?xml version="1.0" encoding="utf-8"?>
<styleSheet xmlns="http://schemas.openxmlformats.org/spreadsheetml/2006/main">
  <numFmts count="4">
    <numFmt numFmtId="44" formatCode="_ &quot;¥&quot;* #,##0.00_ ;_ &quot;¥&quot;* \-#,##0.00_ ;_ &quot;¥&quot;* &quot;-&quot;??_ ;_ @_ "/>
    <numFmt numFmtId="176" formatCode="yyyy/mm/dd"/>
    <numFmt numFmtId="177" formatCode="0000\-0000\-0000\-0000"/>
    <numFmt numFmtId="178" formatCode="00\-00\-00"/>
  </numFmts>
  <fonts count="113"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2"/>
      <color indexed="8"/>
      <name val="宋体"/>
      <charset val="134"/>
    </font>
    <font>
      <b/>
      <sz val="12"/>
      <color indexed="10"/>
      <name val="Times New Roman"/>
      <family val="1"/>
    </font>
    <font>
      <b/>
      <sz val="10"/>
      <color indexed="8"/>
      <name val="宋体"/>
      <charset val="134"/>
    </font>
    <font>
      <b/>
      <sz val="12"/>
      <color indexed="17"/>
      <name val="宋体"/>
      <charset val="134"/>
    </font>
    <font>
      <sz val="10"/>
      <color indexed="17"/>
      <name val="宋体"/>
      <charset val="134"/>
    </font>
    <font>
      <sz val="10"/>
      <color indexed="13"/>
      <name val="宋体"/>
      <charset val="134"/>
    </font>
    <font>
      <vertAlign val="superscript"/>
      <sz val="10"/>
      <color indexed="10"/>
      <name val="宋体"/>
      <charset val="134"/>
    </font>
    <font>
      <sz val="9"/>
      <color indexed="8"/>
      <name val="宋体"/>
      <charset val="134"/>
    </font>
    <font>
      <sz val="9"/>
      <color indexed="23"/>
      <name val="宋体"/>
      <charset val="134"/>
    </font>
    <font>
      <sz val="10"/>
      <color indexed="23"/>
      <name val="宋体"/>
      <charset val="134"/>
    </font>
    <font>
      <sz val="10"/>
      <color indexed="55"/>
      <name val="宋体"/>
      <charset val="134"/>
    </font>
    <font>
      <sz val="9"/>
      <color indexed="40"/>
      <name val="宋体"/>
      <charset val="134"/>
    </font>
    <font>
      <sz val="10"/>
      <name val="幼圆"/>
      <family val="3"/>
      <charset val="134"/>
    </font>
    <font>
      <sz val="10"/>
      <color indexed="8"/>
      <name val="幼圆"/>
      <family val="3"/>
      <charset val="134"/>
    </font>
    <font>
      <b/>
      <sz val="11"/>
      <name val="Arial"/>
      <family val="2"/>
    </font>
    <font>
      <b/>
      <sz val="14"/>
      <color indexed="55"/>
      <name val="宋体"/>
      <charset val="134"/>
    </font>
    <font>
      <sz val="9"/>
      <color indexed="21"/>
      <name val="宋体"/>
      <charset val="134"/>
    </font>
    <font>
      <sz val="6"/>
      <color indexed="12"/>
      <name val="宋体"/>
      <charset val="134"/>
    </font>
    <font>
      <b/>
      <sz val="10"/>
      <color indexed="13"/>
      <name val="宋体"/>
      <charset val="134"/>
    </font>
    <font>
      <b/>
      <sz val="10"/>
      <color indexed="10"/>
      <name val="宋体"/>
      <charset val="134"/>
    </font>
    <font>
      <b/>
      <sz val="10"/>
      <color indexed="9"/>
      <name val="宋体"/>
      <charset val="134"/>
    </font>
    <font>
      <sz val="10"/>
      <color indexed="30"/>
      <name val="宋体"/>
      <charset val="134"/>
    </font>
    <font>
      <b/>
      <sz val="10"/>
      <color indexed="30"/>
      <name val="宋体"/>
      <charset val="134"/>
    </font>
    <font>
      <sz val="11"/>
      <color indexed="30"/>
      <name val="宋体"/>
      <charset val="134"/>
    </font>
    <font>
      <sz val="10"/>
      <color indexed="8"/>
      <name val="宋体"/>
      <charset val="134"/>
    </font>
    <font>
      <sz val="10"/>
      <color indexed="17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b/>
      <sz val="10"/>
      <color indexed="17"/>
      <name val="Arial"/>
      <family val="2"/>
    </font>
    <font>
      <sz val="11"/>
      <name val="楷体"/>
      <family val="3"/>
      <charset val="134"/>
    </font>
    <font>
      <sz val="10"/>
      <color indexed="8"/>
      <name val="微软雅黑"/>
      <family val="2"/>
      <charset val="134"/>
    </font>
    <font>
      <sz val="9"/>
      <color indexed="8"/>
      <name val="微软雅黑"/>
      <family val="2"/>
      <charset val="134"/>
    </font>
    <font>
      <b/>
      <sz val="10"/>
      <color indexed="56"/>
      <name val="Arial"/>
      <family val="2"/>
    </font>
    <font>
      <sz val="11"/>
      <color indexed="8"/>
      <name val="华文行楷"/>
      <charset val="134"/>
    </font>
    <font>
      <b/>
      <sz val="10"/>
      <color indexed="36"/>
      <name val="Arial"/>
      <family val="2"/>
    </font>
    <font>
      <b/>
      <sz val="10"/>
      <color indexed="30"/>
      <name val="Arial"/>
      <family val="2"/>
    </font>
    <font>
      <sz val="11"/>
      <color indexed="8"/>
      <name val="Arial"/>
      <family val="2"/>
    </font>
    <font>
      <b/>
      <sz val="11"/>
      <color indexed="12"/>
      <name val="楷体"/>
      <family val="3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indexed="10"/>
      <name val="微软雅黑"/>
      <family val="2"/>
      <charset val="134"/>
    </font>
    <font>
      <sz val="10"/>
      <color indexed="10"/>
      <name val="Arial"/>
      <family val="2"/>
    </font>
    <font>
      <sz val="10"/>
      <color indexed="19"/>
      <name val="宋体"/>
      <charset val="134"/>
    </font>
    <font>
      <sz val="8"/>
      <color indexed="23"/>
      <name val="宋体"/>
      <charset val="134"/>
    </font>
    <font>
      <sz val="9"/>
      <color indexed="9"/>
      <name val="宋体"/>
      <charset val="134"/>
    </font>
    <font>
      <sz val="10"/>
      <color indexed="30"/>
      <name val="宋体"/>
      <charset val="134"/>
    </font>
    <font>
      <sz val="10"/>
      <name val="宋体"/>
      <charset val="134"/>
    </font>
    <font>
      <sz val="9"/>
      <color indexed="9"/>
      <name val="Arial"/>
      <family val="2"/>
    </font>
    <font>
      <b/>
      <sz val="10"/>
      <color indexed="13"/>
      <name val="宋体"/>
      <charset val="134"/>
    </font>
    <font>
      <b/>
      <sz val="14"/>
      <color indexed="10"/>
      <name val="Arial"/>
      <family val="2"/>
    </font>
    <font>
      <sz val="12"/>
      <name val="宋体"/>
      <charset val="134"/>
    </font>
    <font>
      <sz val="9"/>
      <name val="宋体"/>
      <charset val="134"/>
    </font>
    <font>
      <sz val="10"/>
      <color indexed="9"/>
      <name val="Arial"/>
      <family val="2"/>
    </font>
    <font>
      <sz val="10"/>
      <color indexed="9"/>
      <name val="宋体"/>
      <charset val="134"/>
    </font>
    <font>
      <b/>
      <sz val="12"/>
      <color indexed="9"/>
      <name val="Arial"/>
      <family val="2"/>
    </font>
    <font>
      <sz val="10"/>
      <color indexed="9"/>
      <name val="宋体"/>
      <charset val="134"/>
    </font>
    <font>
      <sz val="10"/>
      <color indexed="23"/>
      <name val="宋体"/>
      <charset val="134"/>
    </font>
    <font>
      <b/>
      <sz val="14"/>
      <color indexed="9"/>
      <name val="Arial"/>
      <family val="2"/>
    </font>
    <font>
      <sz val="12"/>
      <color indexed="22"/>
      <name val="宋体"/>
      <charset val="134"/>
    </font>
    <font>
      <sz val="11"/>
      <color indexed="55"/>
      <name val="宋体"/>
      <charset val="134"/>
    </font>
    <font>
      <sz val="10"/>
      <color indexed="8"/>
      <name val="宋体"/>
      <charset val="134"/>
    </font>
    <font>
      <sz val="10"/>
      <color indexed="30"/>
      <name val="宋体"/>
      <charset val="134"/>
    </font>
    <font>
      <sz val="9"/>
      <color indexed="9"/>
      <name val="宋体"/>
      <charset val="134"/>
    </font>
    <font>
      <sz val="10"/>
      <color indexed="30"/>
      <name val="Arial"/>
      <family val="2"/>
    </font>
    <font>
      <sz val="11"/>
      <color indexed="56"/>
      <name val="宋体"/>
      <charset val="134"/>
    </font>
    <font>
      <sz val="10"/>
      <color indexed="56"/>
      <name val="Arial"/>
      <family val="2"/>
    </font>
    <font>
      <b/>
      <sz val="11"/>
      <color indexed="60"/>
      <name val="Arial"/>
      <family val="2"/>
    </font>
    <font>
      <sz val="10"/>
      <color indexed="30"/>
      <name val="黑体"/>
      <family val="3"/>
      <charset val="134"/>
    </font>
    <font>
      <sz val="11"/>
      <color indexed="40"/>
      <name val="楷体"/>
      <family val="3"/>
      <charset val="134"/>
    </font>
    <font>
      <b/>
      <sz val="12"/>
      <color indexed="17"/>
      <name val="Times New Roman"/>
      <family val="1"/>
    </font>
    <font>
      <b/>
      <sz val="12"/>
      <color indexed="17"/>
      <name val="宋体"/>
      <charset val="134"/>
    </font>
    <font>
      <sz val="9"/>
      <color indexed="40"/>
      <name val="宋体"/>
      <charset val="134"/>
    </font>
    <font>
      <sz val="10"/>
      <color indexed="8"/>
      <name val="楷体"/>
      <family val="3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b/>
      <sz val="10"/>
      <color indexed="8"/>
      <name val="宋体"/>
      <charset val="134"/>
    </font>
    <font>
      <sz val="10"/>
      <color indexed="30"/>
      <name val="宋体"/>
      <charset val="134"/>
    </font>
    <font>
      <sz val="9"/>
      <name val="宋体"/>
      <charset val="134"/>
    </font>
    <font>
      <sz val="10"/>
      <color indexed="30"/>
      <name val="宋体"/>
      <charset val="134"/>
    </font>
    <font>
      <b/>
      <sz val="10"/>
      <color theme="1" tint="0.34998626667073579"/>
      <name val="微软雅黑"/>
      <family val="2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sz val="10"/>
      <color rgb="FFFF0000"/>
      <name val="Arial"/>
      <family val="2"/>
    </font>
    <font>
      <sz val="10"/>
      <color rgb="FF800080"/>
      <name val="宋体"/>
      <charset val="134"/>
    </font>
    <font>
      <sz val="10"/>
      <color rgb="FFFFFF00"/>
      <name val="宋体"/>
      <charset val="134"/>
    </font>
    <font>
      <sz val="10"/>
      <color rgb="FF00CCFF"/>
      <name val="宋体"/>
      <charset val="134"/>
    </font>
    <font>
      <sz val="10"/>
      <color rgb="FF993300"/>
      <name val="宋体"/>
      <charset val="134"/>
    </font>
    <font>
      <sz val="10"/>
      <color rgb="FF969696"/>
      <name val="宋体"/>
      <charset val="134"/>
    </font>
    <font>
      <sz val="10"/>
      <color rgb="FF808000"/>
      <name val="宋体"/>
      <charset val="134"/>
    </font>
    <font>
      <b/>
      <sz val="12"/>
      <color theme="0"/>
      <name val="宋体"/>
      <charset val="134"/>
    </font>
    <font>
      <sz val="10"/>
      <color theme="0" tint="-0.499984740745262"/>
      <name val="宋体"/>
      <charset val="134"/>
    </font>
    <font>
      <b/>
      <sz val="10"/>
      <color theme="1" tint="0.499984740745262"/>
      <name val="宋体"/>
      <charset val="134"/>
    </font>
    <font>
      <sz val="10"/>
      <color theme="1" tint="0.499984740745262"/>
      <name val="宋体"/>
      <charset val="134"/>
    </font>
    <font>
      <sz val="12"/>
      <color rgb="FFC00000"/>
      <name val="华文中宋"/>
      <charset val="134"/>
    </font>
    <font>
      <sz val="9"/>
      <color rgb="FFFF00FF"/>
      <name val="微软雅黑 Light"/>
      <family val="2"/>
      <charset val="134"/>
    </font>
    <font>
      <sz val="10"/>
      <color rgb="FFC00000"/>
      <name val="宋体"/>
      <charset val="134"/>
    </font>
    <font>
      <sz val="11"/>
      <color theme="1"/>
      <name val="幼圆"/>
      <family val="3"/>
      <charset val="134"/>
    </font>
    <font>
      <b/>
      <sz val="12"/>
      <color theme="1"/>
      <name val="Arial"/>
      <family val="2"/>
    </font>
    <font>
      <b/>
      <sz val="12"/>
      <color rgb="FF0033CC"/>
      <name val="Arial"/>
      <family val="2"/>
    </font>
    <font>
      <b/>
      <sz val="12"/>
      <color rgb="FFC00000"/>
      <name val="Arial"/>
      <family val="2"/>
    </font>
    <font>
      <b/>
      <sz val="12"/>
      <color rgb="FF008000"/>
      <name val="Arial"/>
      <family val="2"/>
    </font>
    <font>
      <b/>
      <sz val="12"/>
      <color theme="1"/>
      <name val="微软雅黑"/>
      <family val="2"/>
      <charset val="134"/>
    </font>
    <font>
      <sz val="12"/>
      <color theme="1"/>
      <name val="幼圆"/>
      <family val="3"/>
      <charset val="134"/>
    </font>
    <font>
      <sz val="9"/>
      <name val="宋体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314">
    <xf numFmtId="0" fontId="0" fillId="0" borderId="0" xfId="0">
      <alignment vertical="center"/>
    </xf>
    <xf numFmtId="0" fontId="0" fillId="0" borderId="0" xfId="0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49" fontId="16" fillId="3" borderId="0" xfId="0" applyNumberFormat="1" applyFont="1" applyFill="1" applyBorder="1" applyAlignment="1" applyProtection="1">
      <alignment horizontal="center" vertical="center" shrinkToFit="1"/>
      <protection hidden="1"/>
    </xf>
    <xf numFmtId="0" fontId="6" fillId="2" borderId="0" xfId="0" applyFont="1" applyFill="1" applyAlignment="1" applyProtection="1">
      <alignment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6" fillId="3" borderId="2" xfId="0" applyFont="1" applyFill="1" applyBorder="1" applyAlignment="1" applyProtection="1">
      <alignment vertical="center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9" fillId="0" borderId="3" xfId="0" applyFont="1" applyFill="1" applyBorder="1" applyAlignment="1" applyProtection="1">
      <alignment horizontal="center" vertical="center"/>
      <protection hidden="1"/>
    </xf>
    <xf numFmtId="0" fontId="9" fillId="0" borderId="4" xfId="0" applyFont="1" applyFill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21" fillId="4" borderId="5" xfId="0" applyFont="1" applyFill="1" applyBorder="1" applyAlignment="1" applyProtection="1">
      <alignment horizontal="center" vertical="center"/>
      <protection hidden="1"/>
    </xf>
    <xf numFmtId="0" fontId="3" fillId="5" borderId="3" xfId="0" applyFont="1" applyFill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vertical="center"/>
      <protection hidden="1"/>
    </xf>
    <xf numFmtId="0" fontId="7" fillId="0" borderId="0" xfId="0" applyFont="1" applyFill="1" applyAlignment="1" applyProtection="1">
      <alignment vertical="center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0" fontId="3" fillId="6" borderId="6" xfId="0" applyFont="1" applyFill="1" applyBorder="1" applyAlignment="1" applyProtection="1">
      <alignment horizontal="center" vertical="center"/>
      <protection hidden="1"/>
    </xf>
    <xf numFmtId="0" fontId="3" fillId="6" borderId="7" xfId="0" applyFont="1" applyFill="1" applyBorder="1" applyAlignment="1" applyProtection="1">
      <alignment horizontal="center" vertical="center"/>
      <protection hidden="1"/>
    </xf>
    <xf numFmtId="0" fontId="3" fillId="6" borderId="8" xfId="0" applyFont="1" applyFill="1" applyBorder="1" applyAlignment="1" applyProtection="1">
      <alignment horizontal="center" vertical="center"/>
      <protection hidden="1"/>
    </xf>
    <xf numFmtId="0" fontId="12" fillId="7" borderId="3" xfId="0" applyFont="1" applyFill="1" applyBorder="1" applyAlignment="1" applyProtection="1">
      <alignment horizontal="left" vertical="center"/>
      <protection hidden="1"/>
    </xf>
    <xf numFmtId="0" fontId="3" fillId="6" borderId="9" xfId="0" applyFont="1" applyFill="1" applyBorder="1" applyAlignment="1" applyProtection="1">
      <alignment horizontal="center" vertical="center"/>
      <protection hidden="1"/>
    </xf>
    <xf numFmtId="0" fontId="3" fillId="6" borderId="10" xfId="0" applyFont="1" applyFill="1" applyBorder="1" applyAlignment="1" applyProtection="1">
      <alignment horizontal="center" vertical="center"/>
      <protection hidden="1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6" borderId="3" xfId="0" applyFont="1" applyFill="1" applyBorder="1" applyAlignment="1" applyProtection="1">
      <alignment horizontal="center" vertical="center"/>
      <protection hidden="1"/>
    </xf>
    <xf numFmtId="0" fontId="3" fillId="8" borderId="12" xfId="0" applyFont="1" applyFill="1" applyBorder="1" applyAlignment="1" applyProtection="1">
      <alignment horizontal="center" vertical="center"/>
      <protection hidden="1"/>
    </xf>
    <xf numFmtId="0" fontId="6" fillId="9" borderId="0" xfId="0" applyFont="1" applyFill="1" applyAlignment="1" applyProtection="1">
      <alignment vertical="center"/>
      <protection hidden="1"/>
    </xf>
    <xf numFmtId="0" fontId="7" fillId="9" borderId="0" xfId="0" applyFont="1" applyFill="1" applyAlignment="1" applyProtection="1">
      <alignment vertical="center"/>
      <protection hidden="1"/>
    </xf>
    <xf numFmtId="0" fontId="6" fillId="9" borderId="0" xfId="0" applyFont="1" applyFill="1" applyAlignment="1" applyProtection="1">
      <alignment horizontal="center" vertical="center"/>
      <protection hidden="1"/>
    </xf>
    <xf numFmtId="0" fontId="3" fillId="6" borderId="13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ill="1" applyAlignment="1" applyProtection="1">
      <alignment vertical="center"/>
      <protection hidden="1"/>
    </xf>
    <xf numFmtId="0" fontId="19" fillId="7" borderId="11" xfId="0" applyFont="1" applyFill="1" applyBorder="1" applyAlignment="1" applyProtection="1">
      <alignment horizontal="center" vertical="center"/>
      <protection hidden="1"/>
    </xf>
    <xf numFmtId="0" fontId="59" fillId="7" borderId="11" xfId="0" applyFont="1" applyFill="1" applyBorder="1" applyAlignment="1" applyProtection="1">
      <alignment horizontal="center" vertical="center"/>
      <protection hidden="1"/>
    </xf>
    <xf numFmtId="0" fontId="19" fillId="2" borderId="3" xfId="0" applyFont="1" applyFill="1" applyBorder="1" applyAlignment="1" applyProtection="1">
      <alignment horizontal="center" vertical="center"/>
      <protection hidden="1"/>
    </xf>
    <xf numFmtId="0" fontId="19" fillId="2" borderId="12" xfId="0" applyFont="1" applyFill="1" applyBorder="1" applyAlignment="1" applyProtection="1">
      <alignment horizontal="center" vertical="center"/>
      <protection hidden="1"/>
    </xf>
    <xf numFmtId="0" fontId="3" fillId="6" borderId="11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0" fontId="3" fillId="6" borderId="12" xfId="0" applyFont="1" applyFill="1" applyBorder="1" applyAlignment="1" applyProtection="1">
      <alignment horizontal="center" vertical="center"/>
      <protection hidden="1"/>
    </xf>
    <xf numFmtId="0" fontId="19" fillId="2" borderId="11" xfId="0" applyFont="1" applyFill="1" applyBorder="1" applyAlignment="1" applyProtection="1">
      <alignment horizontal="center" vertical="center"/>
      <protection hidden="1"/>
    </xf>
    <xf numFmtId="0" fontId="1" fillId="7" borderId="3" xfId="0" applyFont="1" applyFill="1" applyBorder="1" applyAlignment="1" applyProtection="1">
      <alignment horizontal="center" vertical="center"/>
      <protection hidden="1"/>
    </xf>
    <xf numFmtId="0" fontId="1" fillId="7" borderId="12" xfId="0" applyFont="1" applyFill="1" applyBorder="1" applyAlignment="1" applyProtection="1">
      <alignment horizontal="center" vertical="center"/>
      <protection hidden="1"/>
    </xf>
    <xf numFmtId="0" fontId="3" fillId="10" borderId="3" xfId="0" applyFont="1" applyFill="1" applyBorder="1" applyAlignment="1" applyProtection="1">
      <alignment horizontal="center" vertical="center"/>
      <protection hidden="1"/>
    </xf>
    <xf numFmtId="0" fontId="3" fillId="8" borderId="3" xfId="0" applyFont="1" applyFill="1" applyBorder="1" applyAlignment="1" applyProtection="1">
      <alignment horizontal="center" vertical="center"/>
      <protection hidden="1"/>
    </xf>
    <xf numFmtId="0" fontId="9" fillId="11" borderId="4" xfId="0" applyFont="1" applyFill="1" applyBorder="1" applyAlignment="1" applyProtection="1">
      <alignment horizontal="center" vertical="center"/>
      <protection hidden="1"/>
    </xf>
    <xf numFmtId="0" fontId="6" fillId="11" borderId="2" xfId="0" applyFont="1" applyFill="1" applyBorder="1" applyAlignment="1" applyProtection="1">
      <alignment vertical="center" shrinkToFit="1"/>
      <protection hidden="1"/>
    </xf>
    <xf numFmtId="0" fontId="3" fillId="6" borderId="6" xfId="0" applyNumberFormat="1" applyFont="1" applyFill="1" applyBorder="1" applyAlignment="1" applyProtection="1">
      <alignment horizontal="center" vertical="center"/>
      <protection hidden="1"/>
    </xf>
    <xf numFmtId="0" fontId="3" fillId="8" borderId="8" xfId="0" applyFont="1" applyFill="1" applyBorder="1" applyAlignment="1" applyProtection="1">
      <alignment horizontal="center" vertical="center"/>
      <protection hidden="1"/>
    </xf>
    <xf numFmtId="0" fontId="60" fillId="5" borderId="3" xfId="0" applyFont="1" applyFill="1" applyBorder="1" applyAlignment="1" applyProtection="1">
      <alignment horizontal="center" vertical="center" shrinkToFit="1"/>
      <protection hidden="1"/>
    </xf>
    <xf numFmtId="0" fontId="22" fillId="11" borderId="1" xfId="0" applyFont="1" applyFill="1" applyBorder="1" applyAlignment="1" applyProtection="1">
      <alignment horizontal="center" vertical="center" shrinkToFit="1"/>
      <protection locked="0"/>
    </xf>
    <xf numFmtId="0" fontId="61" fillId="0" borderId="0" xfId="0" applyFont="1" applyFill="1" applyAlignment="1" applyProtection="1">
      <alignment vertical="center"/>
      <protection hidden="1"/>
    </xf>
    <xf numFmtId="0" fontId="62" fillId="12" borderId="6" xfId="0" applyFont="1" applyFill="1" applyBorder="1" applyAlignment="1" applyProtection="1">
      <alignment horizontal="center" vertical="center"/>
      <protection hidden="1"/>
    </xf>
    <xf numFmtId="0" fontId="63" fillId="12" borderId="7" xfId="0" applyFont="1" applyFill="1" applyBorder="1" applyAlignment="1" applyProtection="1">
      <alignment horizontal="center" vertical="center"/>
      <protection hidden="1"/>
    </xf>
    <xf numFmtId="0" fontId="63" fillId="12" borderId="8" xfId="0" applyFont="1" applyFill="1" applyBorder="1" applyAlignment="1" applyProtection="1">
      <alignment horizontal="center" vertical="center"/>
      <protection hidden="1"/>
    </xf>
    <xf numFmtId="0" fontId="63" fillId="13" borderId="14" xfId="0" applyFont="1" applyFill="1" applyBorder="1" applyAlignment="1" applyProtection="1">
      <alignment horizontal="center" vertical="center"/>
      <protection hidden="1"/>
    </xf>
    <xf numFmtId="0" fontId="63" fillId="13" borderId="15" xfId="0" applyFont="1" applyFill="1" applyBorder="1" applyAlignment="1" applyProtection="1">
      <alignment horizontal="center" vertical="center"/>
      <protection hidden="1"/>
    </xf>
    <xf numFmtId="0" fontId="62" fillId="13" borderId="15" xfId="0" applyFont="1" applyFill="1" applyBorder="1" applyAlignment="1" applyProtection="1">
      <alignment horizontal="center" vertical="center"/>
      <protection hidden="1"/>
    </xf>
    <xf numFmtId="0" fontId="63" fillId="13" borderId="16" xfId="0" applyFont="1" applyFill="1" applyBorder="1" applyAlignment="1" applyProtection="1">
      <alignment horizontal="center" vertical="center"/>
      <protection hidden="1"/>
    </xf>
    <xf numFmtId="0" fontId="1" fillId="9" borderId="0" xfId="0" applyFont="1" applyFill="1" applyAlignment="1" applyProtection="1">
      <alignment vertical="center"/>
      <protection hidden="1"/>
    </xf>
    <xf numFmtId="0" fontId="0" fillId="9" borderId="0" xfId="0" applyFill="1" applyAlignment="1" applyProtection="1">
      <alignment horizontal="center" vertical="center"/>
      <protection hidden="1"/>
    </xf>
    <xf numFmtId="0" fontId="26" fillId="0" borderId="0" xfId="0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30" fillId="0" borderId="0" xfId="0" applyFont="1" applyFill="1" applyAlignment="1" applyProtection="1">
      <alignment vertical="center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176" fontId="0" fillId="0" borderId="0" xfId="0" applyNumberFormat="1" applyAlignment="1" applyProtection="1">
      <alignment vertical="center"/>
      <protection hidden="1"/>
    </xf>
    <xf numFmtId="0" fontId="28" fillId="0" borderId="0" xfId="0" applyFont="1" applyAlignment="1" applyProtection="1">
      <alignment horizontal="center" vertical="center"/>
      <protection hidden="1"/>
    </xf>
    <xf numFmtId="0" fontId="31" fillId="0" borderId="0" xfId="0" applyFont="1" applyAlignment="1" applyProtection="1">
      <alignment vertical="center"/>
      <protection hidden="1"/>
    </xf>
    <xf numFmtId="0" fontId="0" fillId="0" borderId="0" xfId="0" applyFont="1" applyFill="1" applyAlignment="1" applyProtection="1">
      <alignment vertical="center"/>
      <protection hidden="1"/>
    </xf>
    <xf numFmtId="0" fontId="31" fillId="0" borderId="0" xfId="0" applyFont="1" applyFill="1" applyAlignment="1" applyProtection="1">
      <alignment vertical="center"/>
      <protection hidden="1"/>
    </xf>
    <xf numFmtId="0" fontId="0" fillId="7" borderId="0" xfId="0" applyFill="1" applyAlignment="1" applyProtection="1">
      <alignment vertical="center"/>
      <protection hidden="1"/>
    </xf>
    <xf numFmtId="0" fontId="61" fillId="3" borderId="0" xfId="0" applyFont="1" applyFill="1" applyAlignment="1" applyProtection="1">
      <alignment vertical="center"/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49" fontId="16" fillId="0" borderId="0" xfId="0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12" fillId="0" borderId="0" xfId="0" applyFont="1" applyFill="1" applyBorder="1" applyAlignment="1" applyProtection="1">
      <alignment horizontal="left" vertical="center"/>
      <protection hidden="1"/>
    </xf>
    <xf numFmtId="0" fontId="58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4" fillId="0" borderId="0" xfId="0" applyFont="1" applyFill="1" applyBorder="1" applyAlignment="1" applyProtection="1">
      <alignment horizontal="left" vertic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 applyProtection="1">
      <alignment horizontal="center" vertical="center" shrinkToFit="1"/>
      <protection hidden="1"/>
    </xf>
    <xf numFmtId="0" fontId="14" fillId="0" borderId="0" xfId="0" applyFont="1" applyFill="1" applyBorder="1" applyAlignment="1" applyProtection="1">
      <alignment vertical="center"/>
      <protection hidden="1"/>
    </xf>
    <xf numFmtId="0" fontId="59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 shrinkToFit="1"/>
      <protection hidden="1"/>
    </xf>
    <xf numFmtId="0" fontId="60" fillId="0" borderId="0" xfId="0" applyFont="1" applyFill="1" applyBorder="1" applyAlignment="1" applyProtection="1">
      <alignment horizontal="center" vertical="center" shrinkToFit="1"/>
      <protection hidden="1"/>
    </xf>
    <xf numFmtId="0" fontId="15" fillId="0" borderId="0" xfId="0" applyFont="1" applyFill="1" applyBorder="1" applyAlignment="1" applyProtection="1">
      <alignment vertical="center" shrinkToFit="1"/>
      <protection hidden="1"/>
    </xf>
    <xf numFmtId="0" fontId="22" fillId="0" borderId="0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Fill="1" applyBorder="1" applyAlignment="1" applyProtection="1">
      <alignment horizontal="center" vertical="center" shrinkToFit="1"/>
      <protection hidden="1"/>
    </xf>
    <xf numFmtId="0" fontId="17" fillId="0" borderId="0" xfId="0" applyFont="1" applyFill="1" applyBorder="1" applyAlignment="1" applyProtection="1">
      <alignment horizontal="center" vertical="center" shrinkToFit="1"/>
      <protection hidden="1"/>
    </xf>
    <xf numFmtId="0" fontId="61" fillId="0" borderId="0" xfId="0" applyFont="1" applyFill="1" applyBorder="1" applyAlignment="1" applyProtection="1">
      <alignment vertical="center"/>
      <protection hidden="1"/>
    </xf>
    <xf numFmtId="0" fontId="62" fillId="0" borderId="0" xfId="0" applyFont="1" applyFill="1" applyBorder="1" applyAlignment="1" applyProtection="1">
      <alignment horizontal="center" vertical="center"/>
      <protection hidden="1"/>
    </xf>
    <xf numFmtId="0" fontId="63" fillId="0" borderId="0" xfId="0" applyFont="1" applyFill="1" applyBorder="1" applyAlignment="1" applyProtection="1">
      <alignment horizontal="center" vertical="center"/>
      <protection hidden="1"/>
    </xf>
    <xf numFmtId="0" fontId="33" fillId="0" borderId="3" xfId="0" applyFont="1" applyFill="1" applyBorder="1" applyAlignment="1" applyProtection="1">
      <alignment horizontal="center" vertical="center"/>
      <protection hidden="1"/>
    </xf>
    <xf numFmtId="0" fontId="34" fillId="0" borderId="3" xfId="0" applyFont="1" applyFill="1" applyBorder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/>
      <protection hidden="1"/>
    </xf>
    <xf numFmtId="0" fontId="3" fillId="6" borderId="17" xfId="0" applyFont="1" applyFill="1" applyBorder="1" applyAlignment="1" applyProtection="1">
      <alignment horizontal="center" vertical="center"/>
      <protection hidden="1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0" fillId="3" borderId="1" xfId="0" applyFont="1" applyFill="1" applyBorder="1" applyAlignment="1" applyProtection="1">
      <alignment vertical="center"/>
      <protection hidden="1"/>
    </xf>
    <xf numFmtId="0" fontId="6" fillId="3" borderId="1" xfId="0" applyFont="1" applyFill="1" applyBorder="1" applyAlignment="1" applyProtection="1">
      <alignment vertical="center"/>
      <protection hidden="1"/>
    </xf>
    <xf numFmtId="0" fontId="47" fillId="0" borderId="3" xfId="0" applyFont="1" applyFill="1" applyBorder="1" applyAlignment="1" applyProtection="1">
      <alignment horizontal="center" vertical="center"/>
      <protection hidden="1"/>
    </xf>
    <xf numFmtId="0" fontId="6" fillId="3" borderId="18" xfId="0" applyFont="1" applyFill="1" applyBorder="1" applyAlignment="1" applyProtection="1">
      <alignment vertical="center"/>
      <protection hidden="1"/>
    </xf>
    <xf numFmtId="0" fontId="66" fillId="14" borderId="17" xfId="0" applyFont="1" applyFill="1" applyBorder="1" applyAlignment="1" applyProtection="1">
      <alignment horizontal="center" vertical="center"/>
      <protection hidden="1"/>
    </xf>
    <xf numFmtId="0" fontId="67" fillId="0" borderId="0" xfId="0" applyFont="1" applyAlignment="1" applyProtection="1">
      <alignment horizontal="center" vertical="center"/>
      <protection hidden="1"/>
    </xf>
    <xf numFmtId="0" fontId="28" fillId="8" borderId="3" xfId="0" applyFont="1" applyFill="1" applyBorder="1" applyAlignment="1" applyProtection="1">
      <alignment horizontal="center" vertical="center"/>
      <protection hidden="1"/>
    </xf>
    <xf numFmtId="0" fontId="29" fillId="8" borderId="3" xfId="0" applyFont="1" applyFill="1" applyBorder="1" applyAlignment="1" applyProtection="1">
      <alignment horizontal="center" vertical="center"/>
      <protection hidden="1"/>
    </xf>
    <xf numFmtId="0" fontId="54" fillId="8" borderId="3" xfId="0" applyFont="1" applyFill="1" applyBorder="1" applyAlignment="1" applyProtection="1">
      <alignment horizontal="center" vertical="center"/>
      <protection hidden="1"/>
    </xf>
    <xf numFmtId="0" fontId="25" fillId="15" borderId="3" xfId="0" applyFont="1" applyFill="1" applyBorder="1" applyAlignment="1" applyProtection="1">
      <alignment horizontal="center" vertical="center"/>
      <protection hidden="1"/>
    </xf>
    <xf numFmtId="0" fontId="57" fillId="15" borderId="3" xfId="0" applyFont="1" applyFill="1" applyBorder="1" applyAlignment="1" applyProtection="1">
      <alignment horizontal="center" vertical="center"/>
      <protection hidden="1"/>
    </xf>
    <xf numFmtId="176" fontId="25" fillId="15" borderId="3" xfId="0" applyNumberFormat="1" applyFont="1" applyFill="1" applyBorder="1" applyAlignment="1" applyProtection="1">
      <alignment horizontal="center" vertical="center"/>
      <protection hidden="1"/>
    </xf>
    <xf numFmtId="176" fontId="54" fillId="8" borderId="3" xfId="0" applyNumberFormat="1" applyFont="1" applyFill="1" applyBorder="1" applyAlignment="1" applyProtection="1">
      <alignment horizontal="center" vertical="center"/>
      <protection hidden="1"/>
    </xf>
    <xf numFmtId="0" fontId="78" fillId="3" borderId="1" xfId="0" applyFont="1" applyFill="1" applyBorder="1" applyAlignment="1" applyProtection="1">
      <alignment horizontal="center" vertical="center" shrinkToFit="1"/>
      <protection hidden="1"/>
    </xf>
    <xf numFmtId="0" fontId="14" fillId="3" borderId="1" xfId="0" applyFont="1" applyFill="1" applyBorder="1" applyAlignment="1" applyProtection="1">
      <alignment horizontal="center" vertical="center"/>
      <protection hidden="1"/>
    </xf>
    <xf numFmtId="0" fontId="88" fillId="11" borderId="3" xfId="0" applyNumberFormat="1" applyFont="1" applyFill="1" applyBorder="1" applyAlignment="1" applyProtection="1">
      <alignment horizontal="center" vertical="center" shrinkToFit="1"/>
      <protection locked="0"/>
    </xf>
    <xf numFmtId="0" fontId="89" fillId="0" borderId="0" xfId="0" applyFont="1" applyAlignment="1" applyProtection="1">
      <alignment horizontal="center" vertical="center"/>
      <protection hidden="1"/>
    </xf>
    <xf numFmtId="0" fontId="90" fillId="0" borderId="0" xfId="0" applyFont="1" applyAlignment="1" applyProtection="1">
      <alignment horizontal="center" vertical="center"/>
      <protection hidden="1"/>
    </xf>
    <xf numFmtId="0" fontId="90" fillId="0" borderId="0" xfId="0" applyFont="1" applyAlignment="1" applyProtection="1">
      <alignment vertical="center"/>
      <protection hidden="1"/>
    </xf>
    <xf numFmtId="0" fontId="90" fillId="0" borderId="0" xfId="0" applyFont="1" applyFill="1" applyAlignment="1" applyProtection="1">
      <alignment vertical="center"/>
      <protection hidden="1"/>
    </xf>
    <xf numFmtId="0" fontId="91" fillId="0" borderId="0" xfId="0" applyFont="1" applyAlignment="1" applyProtection="1">
      <alignment vertical="center"/>
      <protection hidden="1"/>
    </xf>
    <xf numFmtId="0" fontId="91" fillId="3" borderId="0" xfId="0" applyFont="1" applyFill="1" applyAlignment="1" applyProtection="1">
      <alignment horizontal="center" vertical="center"/>
      <protection hidden="1"/>
    </xf>
    <xf numFmtId="0" fontId="90" fillId="3" borderId="0" xfId="0" applyFont="1" applyFill="1" applyAlignment="1" applyProtection="1">
      <alignment vertical="center"/>
      <protection hidden="1"/>
    </xf>
    <xf numFmtId="0" fontId="91" fillId="3" borderId="0" xfId="0" applyFont="1" applyFill="1" applyAlignment="1" applyProtection="1">
      <alignment vertical="center"/>
      <protection hidden="1"/>
    </xf>
    <xf numFmtId="0" fontId="90" fillId="3" borderId="0" xfId="0" applyFont="1" applyFill="1" applyBorder="1" applyAlignment="1" applyProtection="1">
      <alignment horizontal="center" vertical="center"/>
      <protection hidden="1"/>
    </xf>
    <xf numFmtId="176" fontId="90" fillId="3" borderId="0" xfId="0" applyNumberFormat="1" applyFont="1" applyFill="1" applyBorder="1" applyAlignment="1" applyProtection="1">
      <alignment horizontal="center" vertical="center"/>
      <protection hidden="1"/>
    </xf>
    <xf numFmtId="0" fontId="90" fillId="3" borderId="0" xfId="0" applyFont="1" applyFill="1" applyBorder="1" applyAlignment="1" applyProtection="1">
      <alignment horizontal="left" vertical="center"/>
      <protection hidden="1"/>
    </xf>
    <xf numFmtId="0" fontId="83" fillId="8" borderId="10" xfId="0" applyFont="1" applyFill="1" applyBorder="1" applyAlignment="1" applyProtection="1">
      <alignment horizontal="center" vertical="center"/>
      <protection hidden="1"/>
    </xf>
    <xf numFmtId="0" fontId="59" fillId="5" borderId="3" xfId="0" applyFont="1" applyFill="1" applyBorder="1" applyAlignment="1" applyProtection="1">
      <alignment horizontal="center" vertical="center"/>
      <protection hidden="1"/>
    </xf>
    <xf numFmtId="0" fontId="59" fillId="5" borderId="11" xfId="0" applyFont="1" applyFill="1" applyBorder="1" applyAlignment="1" applyProtection="1">
      <alignment horizontal="center" vertical="center"/>
      <protection hidden="1"/>
    </xf>
    <xf numFmtId="0" fontId="59" fillId="5" borderId="12" xfId="0" applyFont="1" applyFill="1" applyBorder="1" applyAlignment="1" applyProtection="1">
      <alignment horizontal="center" vertical="center"/>
      <protection hidden="1"/>
    </xf>
    <xf numFmtId="0" fontId="59" fillId="5" borderId="19" xfId="0" applyFont="1" applyFill="1" applyBorder="1" applyAlignment="1" applyProtection="1">
      <alignment horizontal="center" vertical="center"/>
      <protection hidden="1"/>
    </xf>
    <xf numFmtId="0" fontId="59" fillId="5" borderId="20" xfId="0" applyFont="1" applyFill="1" applyBorder="1" applyAlignment="1" applyProtection="1">
      <alignment horizontal="center" vertical="center"/>
      <protection hidden="1"/>
    </xf>
    <xf numFmtId="0" fontId="60" fillId="5" borderId="7" xfId="0" applyFont="1" applyFill="1" applyBorder="1" applyAlignment="1" applyProtection="1">
      <alignment horizontal="center" vertical="center" shrinkToFit="1"/>
      <protection hidden="1"/>
    </xf>
    <xf numFmtId="0" fontId="59" fillId="5" borderId="21" xfId="0" applyFont="1" applyFill="1" applyBorder="1" applyAlignment="1" applyProtection="1">
      <alignment horizontal="center" vertical="center"/>
      <protection hidden="1"/>
    </xf>
    <xf numFmtId="0" fontId="1" fillId="7" borderId="22" xfId="0" applyFont="1" applyFill="1" applyBorder="1" applyAlignment="1" applyProtection="1">
      <alignment horizontal="center" vertical="center"/>
      <protection hidden="1"/>
    </xf>
    <xf numFmtId="0" fontId="1" fillId="7" borderId="23" xfId="0" applyFont="1" applyFill="1" applyBorder="1" applyAlignment="1" applyProtection="1">
      <alignment horizontal="center" vertical="center"/>
      <protection hidden="1"/>
    </xf>
    <xf numFmtId="0" fontId="60" fillId="7" borderId="23" xfId="0" applyFont="1" applyFill="1" applyBorder="1" applyAlignment="1" applyProtection="1">
      <alignment horizontal="center" vertical="center" shrinkToFit="1"/>
      <protection hidden="1"/>
    </xf>
    <xf numFmtId="0" fontId="1" fillId="7" borderId="24" xfId="0" applyFont="1" applyFill="1" applyBorder="1" applyAlignment="1" applyProtection="1">
      <alignment horizontal="center" vertical="center"/>
      <protection hidden="1"/>
    </xf>
    <xf numFmtId="0" fontId="19" fillId="2" borderId="10" xfId="0" applyFont="1" applyFill="1" applyBorder="1" applyAlignment="1" applyProtection="1">
      <alignment horizontal="center" vertical="center"/>
      <protection hidden="1"/>
    </xf>
    <xf numFmtId="0" fontId="19" fillId="2" borderId="6" xfId="0" applyFont="1" applyFill="1" applyBorder="1" applyAlignment="1" applyProtection="1">
      <alignment horizontal="center" vertical="center"/>
      <protection hidden="1"/>
    </xf>
    <xf numFmtId="0" fontId="19" fillId="2" borderId="7" xfId="0" applyFont="1" applyFill="1" applyBorder="1" applyAlignment="1" applyProtection="1">
      <alignment horizontal="center" vertical="center"/>
      <protection hidden="1"/>
    </xf>
    <xf numFmtId="0" fontId="58" fillId="4" borderId="7" xfId="0" applyFont="1" applyFill="1" applyBorder="1" applyAlignment="1" applyProtection="1">
      <alignment horizontal="center" vertical="center"/>
      <protection hidden="1"/>
    </xf>
    <xf numFmtId="0" fontId="19" fillId="2" borderId="8" xfId="0" applyFont="1" applyFill="1" applyBorder="1" applyAlignment="1" applyProtection="1">
      <alignment horizontal="center" vertical="center"/>
      <protection hidden="1"/>
    </xf>
    <xf numFmtId="0" fontId="84" fillId="0" borderId="3" xfId="0" applyFont="1" applyFill="1" applyBorder="1" applyAlignment="1" applyProtection="1">
      <alignment horizontal="center" vertical="center"/>
      <protection hidden="1"/>
    </xf>
    <xf numFmtId="0" fontId="58" fillId="14" borderId="25" xfId="0" applyFont="1" applyFill="1" applyBorder="1" applyAlignment="1" applyProtection="1">
      <alignment horizontal="center" vertical="center"/>
      <protection hidden="1"/>
    </xf>
    <xf numFmtId="0" fontId="6" fillId="6" borderId="11" xfId="0" applyFont="1" applyFill="1" applyBorder="1" applyAlignment="1" applyProtection="1">
      <alignment horizontal="center" vertical="center"/>
      <protection hidden="1"/>
    </xf>
    <xf numFmtId="0" fontId="92" fillId="18" borderId="11" xfId="0" applyFont="1" applyFill="1" applyBorder="1" applyAlignment="1" applyProtection="1">
      <alignment horizontal="center" vertical="center"/>
      <protection hidden="1"/>
    </xf>
    <xf numFmtId="0" fontId="93" fillId="19" borderId="11" xfId="0" applyFont="1" applyFill="1" applyBorder="1" applyAlignment="1" applyProtection="1">
      <alignment horizontal="center" vertical="center"/>
      <protection hidden="1"/>
    </xf>
    <xf numFmtId="0" fontId="94" fillId="20" borderId="11" xfId="0" applyFont="1" applyFill="1" applyBorder="1" applyAlignment="1" applyProtection="1">
      <alignment horizontal="center" vertical="center"/>
      <protection hidden="1"/>
    </xf>
    <xf numFmtId="0" fontId="95" fillId="21" borderId="11" xfId="0" applyFont="1" applyFill="1" applyBorder="1" applyAlignment="1" applyProtection="1">
      <alignment horizontal="center" vertical="center"/>
      <protection hidden="1"/>
    </xf>
    <xf numFmtId="0" fontId="96" fillId="22" borderId="11" xfId="0" applyFont="1" applyFill="1" applyBorder="1" applyAlignment="1" applyProtection="1">
      <alignment horizontal="center" vertical="center"/>
      <protection hidden="1"/>
    </xf>
    <xf numFmtId="0" fontId="65" fillId="8" borderId="4" xfId="0" applyFont="1" applyFill="1" applyBorder="1" applyAlignment="1" applyProtection="1">
      <alignment horizontal="left" vertical="center"/>
      <protection hidden="1"/>
    </xf>
    <xf numFmtId="0" fontId="97" fillId="23" borderId="11" xfId="0" applyFont="1" applyFill="1" applyBorder="1" applyAlignment="1" applyProtection="1">
      <alignment horizontal="center" vertical="center"/>
      <protection hidden="1"/>
    </xf>
    <xf numFmtId="0" fontId="3" fillId="24" borderId="7" xfId="0" applyFont="1" applyFill="1" applyBorder="1" applyAlignment="1" applyProtection="1">
      <alignment horizontal="center" vertical="center"/>
      <protection hidden="1"/>
    </xf>
    <xf numFmtId="0" fontId="6" fillId="24" borderId="6" xfId="0" applyFont="1" applyFill="1" applyBorder="1" applyAlignment="1" applyProtection="1">
      <alignment horizontal="center" vertical="center"/>
      <protection hidden="1"/>
    </xf>
    <xf numFmtId="0" fontId="3" fillId="24" borderId="26" xfId="0" applyFont="1" applyFill="1" applyBorder="1" applyAlignment="1" applyProtection="1">
      <alignment horizontal="center" vertical="center"/>
      <protection hidden="1"/>
    </xf>
    <xf numFmtId="0" fontId="98" fillId="25" borderId="9" xfId="0" applyFont="1" applyFill="1" applyBorder="1" applyAlignment="1" applyProtection="1">
      <alignment horizontal="center" vertical="center"/>
      <protection hidden="1"/>
    </xf>
    <xf numFmtId="0" fontId="3" fillId="10" borderId="27" xfId="0" applyNumberFormat="1" applyFont="1" applyFill="1" applyBorder="1" applyAlignment="1" applyProtection="1">
      <alignment horizontal="center" vertical="center"/>
      <protection hidden="1"/>
    </xf>
    <xf numFmtId="0" fontId="92" fillId="26" borderId="17" xfId="0" applyFont="1" applyFill="1" applyBorder="1" applyAlignment="1" applyProtection="1">
      <alignment horizontal="center" vertical="center"/>
      <protection hidden="1"/>
    </xf>
    <xf numFmtId="0" fontId="99" fillId="27" borderId="3" xfId="0" applyFont="1" applyFill="1" applyBorder="1" applyAlignment="1" applyProtection="1">
      <alignment horizontal="center" vertical="center"/>
      <protection hidden="1"/>
    </xf>
    <xf numFmtId="0" fontId="99" fillId="27" borderId="3" xfId="0" applyNumberFormat="1" applyFont="1" applyFill="1" applyBorder="1" applyAlignment="1" applyProtection="1">
      <alignment horizontal="center" vertical="center"/>
      <protection hidden="1"/>
    </xf>
    <xf numFmtId="49" fontId="99" fillId="27" borderId="3" xfId="0" applyNumberFormat="1" applyFont="1" applyFill="1" applyBorder="1" applyAlignment="1" applyProtection="1">
      <alignment horizontal="center" vertical="center"/>
      <protection hidden="1"/>
    </xf>
    <xf numFmtId="0" fontId="69" fillId="26" borderId="10" xfId="0" applyFont="1" applyFill="1" applyBorder="1" applyAlignment="1" applyProtection="1">
      <alignment vertical="center"/>
      <protection hidden="1"/>
    </xf>
    <xf numFmtId="0" fontId="100" fillId="26" borderId="12" xfId="0" applyFont="1" applyFill="1" applyBorder="1" applyAlignment="1" applyProtection="1">
      <alignment horizontal="center" vertical="center"/>
      <protection hidden="1"/>
    </xf>
    <xf numFmtId="0" fontId="101" fillId="26" borderId="12" xfId="0" applyFont="1" applyFill="1" applyBorder="1" applyAlignment="1" applyProtection="1">
      <alignment horizontal="center" vertical="center"/>
      <protection hidden="1"/>
    </xf>
    <xf numFmtId="0" fontId="92" fillId="28" borderId="28" xfId="0" applyFont="1" applyFill="1" applyBorder="1" applyAlignment="1" applyProtection="1">
      <alignment horizontal="center" vertical="center"/>
      <protection hidden="1"/>
    </xf>
    <xf numFmtId="0" fontId="92" fillId="28" borderId="29" xfId="0" applyFont="1" applyFill="1" applyBorder="1" applyAlignment="1" applyProtection="1">
      <alignment horizontal="center" vertical="center"/>
      <protection hidden="1"/>
    </xf>
    <xf numFmtId="0" fontId="92" fillId="29" borderId="30" xfId="0" applyFont="1" applyFill="1" applyBorder="1" applyAlignment="1" applyProtection="1">
      <alignment horizontal="center" vertical="center"/>
      <protection hidden="1"/>
    </xf>
    <xf numFmtId="178" fontId="102" fillId="11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11" borderId="3" xfId="0" applyFont="1" applyFill="1" applyBorder="1" applyAlignment="1" applyProtection="1">
      <alignment horizontal="center" vertical="center" shrinkToFit="1"/>
      <protection hidden="1"/>
    </xf>
    <xf numFmtId="0" fontId="17" fillId="11" borderId="3" xfId="0" applyFont="1" applyFill="1" applyBorder="1" applyAlignment="1" applyProtection="1">
      <alignment horizontal="center" vertical="center" shrinkToFit="1"/>
      <protection hidden="1"/>
    </xf>
    <xf numFmtId="0" fontId="93" fillId="25" borderId="42" xfId="0" applyFont="1" applyFill="1" applyBorder="1" applyAlignment="1" applyProtection="1">
      <alignment horizontal="center" vertical="center"/>
      <protection hidden="1"/>
    </xf>
    <xf numFmtId="0" fontId="104" fillId="25" borderId="43" xfId="0" applyFont="1" applyFill="1" applyBorder="1" applyAlignment="1" applyProtection="1">
      <alignment horizontal="center" vertical="center"/>
      <protection hidden="1"/>
    </xf>
    <xf numFmtId="0" fontId="104" fillId="25" borderId="44" xfId="0" applyFont="1" applyFill="1" applyBorder="1" applyAlignment="1" applyProtection="1">
      <alignment horizontal="left" vertical="center"/>
      <protection hidden="1"/>
    </xf>
    <xf numFmtId="0" fontId="87" fillId="11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22" borderId="0" xfId="0" applyFill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0" fontId="0" fillId="0" borderId="0" xfId="0" applyFill="1" applyProtection="1">
      <alignment vertical="center"/>
      <protection hidden="1"/>
    </xf>
    <xf numFmtId="0" fontId="0" fillId="0" borderId="45" xfId="0" applyBorder="1" applyAlignment="1" applyProtection="1">
      <alignment horizontal="center" vertical="center"/>
      <protection hidden="1"/>
    </xf>
    <xf numFmtId="10" fontId="0" fillId="0" borderId="45" xfId="0" applyNumberFormat="1" applyBorder="1" applyProtection="1">
      <alignment vertical="center"/>
      <protection hidden="1"/>
    </xf>
    <xf numFmtId="0" fontId="0" fillId="0" borderId="45" xfId="0" applyBorder="1" applyProtection="1">
      <alignment vertical="center"/>
      <protection hidden="1"/>
    </xf>
    <xf numFmtId="0" fontId="105" fillId="31" borderId="9" xfId="0" applyFont="1" applyFill="1" applyBorder="1" applyAlignment="1" applyProtection="1">
      <alignment horizontal="center" vertical="center"/>
      <protection hidden="1"/>
    </xf>
    <xf numFmtId="0" fontId="105" fillId="31" borderId="10" xfId="0" applyFont="1" applyFill="1" applyBorder="1" applyAlignment="1" applyProtection="1">
      <alignment horizontal="center" vertical="center"/>
      <protection hidden="1"/>
    </xf>
    <xf numFmtId="0" fontId="105" fillId="31" borderId="17" xfId="0" applyFont="1" applyFill="1" applyBorder="1" applyAlignment="1" applyProtection="1">
      <alignment horizontal="center" vertical="center"/>
      <protection hidden="1"/>
    </xf>
    <xf numFmtId="44" fontId="106" fillId="32" borderId="6" xfId="0" applyNumberFormat="1" applyFont="1" applyFill="1" applyBorder="1" applyAlignment="1" applyProtection="1">
      <alignment horizontal="center" vertical="center"/>
      <protection locked="0"/>
    </xf>
    <xf numFmtId="44" fontId="107" fillId="0" borderId="7" xfId="0" applyNumberFormat="1" applyFont="1" applyFill="1" applyBorder="1" applyProtection="1">
      <alignment vertical="center"/>
      <protection hidden="1"/>
    </xf>
    <xf numFmtId="44" fontId="108" fillId="0" borderId="7" xfId="0" applyNumberFormat="1" applyFont="1" applyFill="1" applyBorder="1" applyAlignment="1" applyProtection="1">
      <alignment vertical="center"/>
      <protection hidden="1"/>
    </xf>
    <xf numFmtId="44" fontId="109" fillId="0" borderId="8" xfId="0" applyNumberFormat="1" applyFont="1" applyFill="1" applyBorder="1" applyAlignment="1" applyProtection="1">
      <alignment vertical="center"/>
      <protection hidden="1"/>
    </xf>
    <xf numFmtId="0" fontId="105" fillId="0" borderId="9" xfId="0" applyFont="1" applyBorder="1" applyAlignment="1" applyProtection="1">
      <alignment horizontal="center" vertical="center"/>
      <protection hidden="1"/>
    </xf>
    <xf numFmtId="0" fontId="105" fillId="0" borderId="10" xfId="0" applyFont="1" applyBorder="1" applyAlignment="1" applyProtection="1">
      <alignment horizontal="center" vertical="center"/>
      <protection hidden="1"/>
    </xf>
    <xf numFmtId="0" fontId="105" fillId="0" borderId="17" xfId="0" applyFont="1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right" vertical="center"/>
      <protection hidden="1"/>
    </xf>
    <xf numFmtId="0" fontId="0" fillId="0" borderId="3" xfId="0" applyBorder="1" applyProtection="1">
      <alignment vertical="center"/>
      <protection hidden="1"/>
    </xf>
    <xf numFmtId="0" fontId="0" fillId="0" borderId="12" xfId="0" applyBorder="1" applyProtection="1">
      <alignment vertical="center"/>
      <protection hidden="1"/>
    </xf>
    <xf numFmtId="10" fontId="0" fillId="0" borderId="3" xfId="0" applyNumberFormat="1" applyBorder="1" applyProtection="1">
      <alignment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10" fontId="0" fillId="0" borderId="7" xfId="0" applyNumberFormat="1" applyBorder="1" applyProtection="1">
      <alignment vertical="center"/>
      <protection hidden="1"/>
    </xf>
    <xf numFmtId="0" fontId="0" fillId="0" borderId="7" xfId="0" applyBorder="1" applyProtection="1">
      <alignment vertical="center"/>
      <protection hidden="1"/>
    </xf>
    <xf numFmtId="0" fontId="0" fillId="0" borderId="8" xfId="0" applyBorder="1" applyProtection="1">
      <alignment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10" fontId="0" fillId="0" borderId="0" xfId="0" applyNumberFormat="1" applyBorder="1" applyProtection="1">
      <alignment vertical="center"/>
      <protection hidden="1"/>
    </xf>
    <xf numFmtId="0" fontId="0" fillId="0" borderId="0" xfId="0" applyBorder="1" applyProtection="1">
      <alignment vertical="center"/>
      <protection hidden="1"/>
    </xf>
    <xf numFmtId="10" fontId="105" fillId="31" borderId="13" xfId="0" applyNumberFormat="1" applyFont="1" applyFill="1" applyBorder="1" applyAlignment="1" applyProtection="1">
      <alignment horizontal="center" vertical="center"/>
      <protection hidden="1"/>
    </xf>
    <xf numFmtId="10" fontId="110" fillId="32" borderId="46" xfId="0" applyNumberFormat="1" applyFont="1" applyFill="1" applyBorder="1" applyAlignment="1" applyProtection="1">
      <alignment horizontal="center" vertical="center"/>
      <protection locked="0"/>
    </xf>
    <xf numFmtId="10" fontId="105" fillId="31" borderId="27" xfId="0" applyNumberFormat="1" applyFont="1" applyFill="1" applyBorder="1" applyAlignment="1" applyProtection="1">
      <alignment horizontal="center" vertical="center"/>
      <protection hidden="1"/>
    </xf>
    <xf numFmtId="44" fontId="107" fillId="31" borderId="47" xfId="0" applyNumberFormat="1" applyFont="1" applyFill="1" applyBorder="1" applyAlignment="1" applyProtection="1">
      <alignment vertical="center"/>
      <protection hidden="1"/>
    </xf>
    <xf numFmtId="0" fontId="0" fillId="0" borderId="48" xfId="0" applyBorder="1" applyAlignment="1" applyProtection="1">
      <alignment horizontal="center" vertical="center"/>
      <protection hidden="1"/>
    </xf>
    <xf numFmtId="10" fontId="0" fillId="0" borderId="48" xfId="0" applyNumberFormat="1" applyBorder="1" applyProtection="1">
      <alignment vertical="center"/>
      <protection hidden="1"/>
    </xf>
    <xf numFmtId="0" fontId="0" fillId="0" borderId="48" xfId="0" applyBorder="1" applyProtection="1">
      <alignment vertical="center"/>
      <protection hidden="1"/>
    </xf>
    <xf numFmtId="44" fontId="111" fillId="31" borderId="13" xfId="0" applyNumberFormat="1" applyFont="1" applyFill="1" applyBorder="1" applyAlignment="1" applyProtection="1">
      <alignment horizontal="center" vertical="center"/>
      <protection hidden="1"/>
    </xf>
    <xf numFmtId="44" fontId="106" fillId="31" borderId="46" xfId="0" applyNumberFormat="1" applyFont="1" applyFill="1" applyBorder="1" applyAlignment="1" applyProtection="1">
      <alignment horizontal="center" vertical="center"/>
      <protection hidden="1"/>
    </xf>
    <xf numFmtId="44" fontId="108" fillId="31" borderId="47" xfId="0" applyNumberFormat="1" applyFont="1" applyFill="1" applyBorder="1" applyAlignment="1" applyProtection="1">
      <alignment vertical="center"/>
      <protection hidden="1"/>
    </xf>
    <xf numFmtId="0" fontId="55" fillId="17" borderId="31" xfId="0" applyFont="1" applyFill="1" applyBorder="1" applyAlignment="1" applyProtection="1">
      <alignment horizontal="center" vertical="center"/>
      <protection hidden="1"/>
    </xf>
    <xf numFmtId="0" fontId="55" fillId="17" borderId="32" xfId="0" applyFont="1" applyFill="1" applyBorder="1" applyAlignment="1" applyProtection="1">
      <alignment horizontal="center" vertical="center"/>
      <protection hidden="1"/>
    </xf>
    <xf numFmtId="0" fontId="55" fillId="17" borderId="41" xfId="0" applyFont="1" applyFill="1" applyBorder="1" applyAlignment="1" applyProtection="1">
      <alignment horizontal="center" vertical="center"/>
      <protection hidden="1"/>
    </xf>
    <xf numFmtId="0" fontId="14" fillId="3" borderId="1" xfId="0" applyFont="1" applyFill="1" applyBorder="1" applyAlignment="1" applyProtection="1">
      <alignment horizontal="left" vertical="center"/>
      <protection hidden="1"/>
    </xf>
    <xf numFmtId="0" fontId="19" fillId="2" borderId="9" xfId="0" applyFont="1" applyFill="1" applyBorder="1" applyAlignment="1" applyProtection="1">
      <alignment horizontal="center" vertical="center"/>
      <protection hidden="1"/>
    </xf>
    <xf numFmtId="0" fontId="19" fillId="2" borderId="10" xfId="0" applyFont="1" applyFill="1" applyBorder="1" applyAlignment="1" applyProtection="1">
      <alignment horizontal="center" vertical="center"/>
      <protection hidden="1"/>
    </xf>
    <xf numFmtId="0" fontId="19" fillId="2" borderId="17" xfId="0" applyFont="1" applyFill="1" applyBorder="1" applyAlignment="1" applyProtection="1">
      <alignment horizontal="center" vertical="center"/>
      <protection hidden="1"/>
    </xf>
    <xf numFmtId="0" fontId="28" fillId="11" borderId="4" xfId="0" applyNumberFormat="1" applyFont="1" applyFill="1" applyBorder="1" applyAlignment="1" applyProtection="1">
      <alignment horizontal="center" vertical="center" shrinkToFit="1"/>
      <protection locked="0"/>
    </xf>
    <xf numFmtId="0" fontId="72" fillId="11" borderId="1" xfId="0" applyNumberFormat="1" applyFont="1" applyFill="1" applyBorder="1" applyAlignment="1" applyProtection="1">
      <alignment horizontal="center" vertical="center" shrinkToFit="1"/>
      <protection locked="0"/>
    </xf>
    <xf numFmtId="0" fontId="72" fillId="11" borderId="2" xfId="0" applyNumberFormat="1" applyFont="1" applyFill="1" applyBorder="1" applyAlignment="1" applyProtection="1">
      <alignment horizontal="center" vertical="center" shrinkToFit="1"/>
      <protection locked="0"/>
    </xf>
    <xf numFmtId="0" fontId="20" fillId="2" borderId="3" xfId="0" applyFont="1" applyFill="1" applyBorder="1" applyAlignment="1" applyProtection="1">
      <alignment horizontal="center" vertical="center"/>
      <protection hidden="1"/>
    </xf>
    <xf numFmtId="0" fontId="20" fillId="2" borderId="12" xfId="0" applyFont="1" applyFill="1" applyBorder="1" applyAlignment="1" applyProtection="1">
      <alignment horizontal="center" vertical="center"/>
      <protection hidden="1"/>
    </xf>
    <xf numFmtId="0" fontId="19" fillId="2" borderId="39" xfId="0" applyFont="1" applyFill="1" applyBorder="1" applyAlignment="1" applyProtection="1">
      <alignment horizontal="center" vertical="center"/>
      <protection hidden="1"/>
    </xf>
    <xf numFmtId="0" fontId="19" fillId="2" borderId="0" xfId="0" applyFont="1" applyFill="1" applyBorder="1" applyAlignment="1" applyProtection="1">
      <alignment horizontal="center" vertical="center"/>
      <protection hidden="1"/>
    </xf>
    <xf numFmtId="0" fontId="19" fillId="2" borderId="40" xfId="0" applyFont="1" applyFill="1" applyBorder="1" applyAlignment="1" applyProtection="1">
      <alignment horizontal="center" vertical="center"/>
      <protection hidden="1"/>
    </xf>
    <xf numFmtId="0" fontId="22" fillId="11" borderId="1" xfId="0" applyFont="1" applyFill="1" applyBorder="1" applyAlignment="1" applyProtection="1">
      <alignment horizontal="center" vertical="center" shrinkToFit="1"/>
      <protection locked="0"/>
    </xf>
    <xf numFmtId="0" fontId="23" fillId="8" borderId="4" xfId="0" applyNumberFormat="1" applyFont="1" applyFill="1" applyBorder="1" applyAlignment="1" applyProtection="1">
      <alignment horizontal="left" vertical="center" shrinkToFit="1"/>
      <protection hidden="1"/>
    </xf>
    <xf numFmtId="0" fontId="23" fillId="8" borderId="1" xfId="0" applyNumberFormat="1" applyFont="1" applyFill="1" applyBorder="1" applyAlignment="1" applyProtection="1">
      <alignment horizontal="left" vertical="center" shrinkToFit="1"/>
      <protection hidden="1"/>
    </xf>
    <xf numFmtId="0" fontId="23" fillId="8" borderId="2" xfId="0" applyNumberFormat="1" applyFont="1" applyFill="1" applyBorder="1" applyAlignment="1" applyProtection="1">
      <alignment horizontal="left" vertical="center" shrinkToFit="1"/>
      <protection hidden="1"/>
    </xf>
    <xf numFmtId="0" fontId="1" fillId="9" borderId="0" xfId="0" applyFont="1" applyFill="1" applyAlignment="1" applyProtection="1">
      <alignment horizontal="center" vertical="center"/>
      <protection hidden="1"/>
    </xf>
    <xf numFmtId="177" fontId="79" fillId="3" borderId="2" xfId="0" applyNumberFormat="1" applyFont="1" applyFill="1" applyBorder="1" applyAlignment="1" applyProtection="1">
      <alignment horizontal="left" vertical="center" shrinkToFit="1"/>
      <protection hidden="1"/>
    </xf>
    <xf numFmtId="177" fontId="79" fillId="3" borderId="3" xfId="0" applyNumberFormat="1" applyFont="1" applyFill="1" applyBorder="1" applyAlignment="1" applyProtection="1">
      <alignment horizontal="left" vertical="center" shrinkToFit="1"/>
      <protection hidden="1"/>
    </xf>
    <xf numFmtId="0" fontId="71" fillId="30" borderId="0" xfId="0" applyFont="1" applyFill="1" applyAlignment="1" applyProtection="1">
      <alignment horizontal="left" vertical="center"/>
      <protection hidden="1"/>
    </xf>
    <xf numFmtId="0" fontId="48" fillId="3" borderId="1" xfId="0" applyFont="1" applyFill="1" applyBorder="1" applyAlignment="1" applyProtection="1">
      <alignment horizontal="left" vertical="center"/>
      <protection hidden="1"/>
    </xf>
    <xf numFmtId="0" fontId="6" fillId="3" borderId="1" xfId="0" applyFont="1" applyFill="1" applyBorder="1" applyAlignment="1" applyProtection="1">
      <alignment horizontal="left" vertical="center"/>
      <protection hidden="1"/>
    </xf>
    <xf numFmtId="0" fontId="62" fillId="12" borderId="9" xfId="0" applyFont="1" applyFill="1" applyBorder="1" applyAlignment="1" applyProtection="1">
      <alignment horizontal="center" vertical="center"/>
      <protection hidden="1"/>
    </xf>
    <xf numFmtId="0" fontId="62" fillId="12" borderId="10" xfId="0" applyFont="1" applyFill="1" applyBorder="1" applyAlignment="1" applyProtection="1">
      <alignment horizontal="center" vertical="center"/>
      <protection hidden="1"/>
    </xf>
    <xf numFmtId="0" fontId="62" fillId="12" borderId="17" xfId="0" applyFont="1" applyFill="1" applyBorder="1" applyAlignment="1" applyProtection="1">
      <alignment horizontal="center" vertical="center"/>
      <protection hidden="1"/>
    </xf>
    <xf numFmtId="0" fontId="62" fillId="12" borderId="11" xfId="0" applyFont="1" applyFill="1" applyBorder="1" applyAlignment="1" applyProtection="1">
      <alignment horizontal="center" vertical="center"/>
      <protection hidden="1"/>
    </xf>
    <xf numFmtId="0" fontId="62" fillId="12" borderId="3" xfId="0" applyFont="1" applyFill="1" applyBorder="1" applyAlignment="1" applyProtection="1">
      <alignment horizontal="center" vertical="center"/>
      <protection hidden="1"/>
    </xf>
    <xf numFmtId="0" fontId="62" fillId="12" borderId="12" xfId="0" applyFont="1" applyFill="1" applyBorder="1" applyAlignment="1" applyProtection="1">
      <alignment horizontal="center" vertical="center"/>
      <protection hidden="1"/>
    </xf>
    <xf numFmtId="0" fontId="62" fillId="13" borderId="33" xfId="0" applyFont="1" applyFill="1" applyBorder="1" applyAlignment="1" applyProtection="1">
      <alignment horizontal="center" vertical="center"/>
      <protection hidden="1"/>
    </xf>
    <xf numFmtId="0" fontId="62" fillId="13" borderId="34" xfId="0" applyFont="1" applyFill="1" applyBorder="1" applyAlignment="1" applyProtection="1">
      <alignment horizontal="center" vertical="center"/>
      <protection hidden="1"/>
    </xf>
    <xf numFmtId="0" fontId="62" fillId="13" borderId="35" xfId="0" applyFont="1" applyFill="1" applyBorder="1" applyAlignment="1" applyProtection="1">
      <alignment horizontal="center" vertical="center"/>
      <protection hidden="1"/>
    </xf>
    <xf numFmtId="0" fontId="62" fillId="13" borderId="36" xfId="0" applyFont="1" applyFill="1" applyBorder="1" applyAlignment="1" applyProtection="1">
      <alignment horizontal="center" vertical="center"/>
      <protection hidden="1"/>
    </xf>
    <xf numFmtId="0" fontId="62" fillId="13" borderId="37" xfId="0" applyFont="1" applyFill="1" applyBorder="1" applyAlignment="1" applyProtection="1">
      <alignment horizontal="center" vertical="center"/>
      <protection hidden="1"/>
    </xf>
    <xf numFmtId="0" fontId="62" fillId="13" borderId="38" xfId="0" applyFont="1" applyFill="1" applyBorder="1" applyAlignment="1" applyProtection="1">
      <alignment horizontal="center" vertical="center"/>
      <protection hidden="1"/>
    </xf>
    <xf numFmtId="0" fontId="77" fillId="3" borderId="1" xfId="0" applyFont="1" applyFill="1" applyBorder="1" applyAlignment="1" applyProtection="1">
      <alignment horizontal="left" vertical="center"/>
      <protection hidden="1"/>
    </xf>
    <xf numFmtId="0" fontId="38" fillId="0" borderId="0" xfId="0" applyFont="1">
      <alignment vertical="center"/>
    </xf>
    <xf numFmtId="0" fontId="6" fillId="3" borderId="1" xfId="0" applyFont="1" applyFill="1" applyBorder="1" applyAlignment="1" applyProtection="1">
      <alignment vertical="center"/>
      <protection hidden="1"/>
    </xf>
    <xf numFmtId="0" fontId="38" fillId="0" borderId="1" xfId="0" applyFont="1" applyBorder="1">
      <alignment vertical="center"/>
    </xf>
    <xf numFmtId="0" fontId="103" fillId="11" borderId="1" xfId="0" applyNumberFormat="1" applyFont="1" applyFill="1" applyBorder="1" applyAlignment="1" applyProtection="1">
      <alignment horizontal="left" vertical="center" shrinkToFit="1"/>
      <protection hidden="1"/>
    </xf>
    <xf numFmtId="0" fontId="103" fillId="11" borderId="2" xfId="0" applyNumberFormat="1" applyFont="1" applyFill="1" applyBorder="1" applyAlignment="1" applyProtection="1">
      <alignment horizontal="left" vertical="center" shrinkToFit="1"/>
      <protection hidden="1"/>
    </xf>
    <xf numFmtId="0" fontId="48" fillId="3" borderId="1" xfId="0" applyFont="1" applyFill="1" applyBorder="1" applyAlignment="1" applyProtection="1">
      <alignment vertical="center"/>
      <protection hidden="1"/>
    </xf>
    <xf numFmtId="0" fontId="35" fillId="3" borderId="1" xfId="0" applyFont="1" applyFill="1" applyBorder="1" applyAlignment="1" applyProtection="1">
      <alignment horizontal="left" vertical="center"/>
      <protection hidden="1"/>
    </xf>
    <xf numFmtId="0" fontId="82" fillId="3" borderId="1" xfId="0" applyFont="1" applyFill="1" applyBorder="1" applyAlignment="1" applyProtection="1">
      <alignment horizontal="left" vertical="center"/>
      <protection hidden="1"/>
    </xf>
    <xf numFmtId="0" fontId="45" fillId="3" borderId="1" xfId="0" applyFont="1" applyFill="1" applyBorder="1" applyAlignment="1" applyProtection="1">
      <alignment vertical="center"/>
      <protection hidden="1"/>
    </xf>
    <xf numFmtId="0" fontId="85" fillId="11" borderId="1" xfId="0" applyFont="1" applyFill="1" applyBorder="1" applyAlignment="1" applyProtection="1">
      <alignment horizontal="left" vertical="center" shrinkToFit="1"/>
      <protection locked="0"/>
    </xf>
    <xf numFmtId="0" fontId="70" fillId="11" borderId="1" xfId="0" applyFont="1" applyFill="1" applyBorder="1" applyAlignment="1" applyProtection="1">
      <alignment horizontal="left" vertical="center" shrinkToFit="1"/>
      <protection locked="0"/>
    </xf>
    <xf numFmtId="0" fontId="7" fillId="0" borderId="3" xfId="0" applyFont="1" applyBorder="1" applyAlignment="1" applyProtection="1">
      <alignment horizontal="center" vertical="center"/>
      <protection hidden="1"/>
    </xf>
    <xf numFmtId="0" fontId="68" fillId="3" borderId="1" xfId="0" applyFont="1" applyFill="1" applyBorder="1" applyAlignment="1" applyProtection="1">
      <alignment horizontal="left" vertical="center"/>
      <protection hidden="1"/>
    </xf>
    <xf numFmtId="0" fontId="11" fillId="16" borderId="4" xfId="0" applyFont="1" applyFill="1" applyBorder="1" applyAlignment="1" applyProtection="1">
      <alignment horizontal="left" vertical="center"/>
      <protection hidden="1"/>
    </xf>
    <xf numFmtId="0" fontId="11" fillId="16" borderId="1" xfId="0" applyFont="1" applyFill="1" applyBorder="1" applyAlignment="1" applyProtection="1">
      <alignment horizontal="left" vertical="center"/>
      <protection hidden="1"/>
    </xf>
    <xf numFmtId="0" fontId="11" fillId="16" borderId="2" xfId="0" applyFont="1" applyFill="1" applyBorder="1" applyAlignment="1" applyProtection="1">
      <alignment horizontal="left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69" fillId="26" borderId="31" xfId="0" applyFont="1" applyFill="1" applyBorder="1" applyAlignment="1" applyProtection="1">
      <alignment horizontal="center" vertical="center"/>
      <protection hidden="1"/>
    </xf>
    <xf numFmtId="0" fontId="69" fillId="26" borderId="32" xfId="0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left" vertical="center"/>
      <protection hidden="1"/>
    </xf>
    <xf numFmtId="0" fontId="6" fillId="0" borderId="1" xfId="0" applyFont="1" applyFill="1" applyBorder="1" applyAlignment="1" applyProtection="1">
      <alignment horizontal="left" vertical="center"/>
      <protection hidden="1"/>
    </xf>
    <xf numFmtId="0" fontId="6" fillId="0" borderId="2" xfId="0" applyFont="1" applyFill="1" applyBorder="1" applyAlignment="1" applyProtection="1">
      <alignment horizontal="left" vertical="center"/>
      <protection hidden="1"/>
    </xf>
    <xf numFmtId="0" fontId="80" fillId="0" borderId="1" xfId="0" applyFont="1" applyFill="1" applyBorder="1" applyAlignment="1" applyProtection="1">
      <alignment horizontal="left" vertical="center"/>
      <protection hidden="1"/>
    </xf>
    <xf numFmtId="0" fontId="22" fillId="0" borderId="0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NumberFormat="1" applyFont="1" applyFill="1" applyBorder="1" applyAlignment="1" applyProtection="1">
      <alignment horizontal="left" vertical="center" shrinkToFit="1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left" vertical="center"/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177" fontId="10" fillId="0" borderId="0" xfId="0" applyNumberFormat="1" applyFont="1" applyFill="1" applyBorder="1" applyAlignment="1" applyProtection="1">
      <alignment horizontal="left" vertical="center" shrinkToFit="1"/>
      <protection hidden="1"/>
    </xf>
    <xf numFmtId="0" fontId="32" fillId="0" borderId="0" xfId="0" applyFont="1" applyFill="1" applyBorder="1" applyAlignment="1" applyProtection="1">
      <alignment horizontal="left" vertical="center" shrinkToFit="1"/>
      <protection locked="0"/>
    </xf>
    <xf numFmtId="0" fontId="11" fillId="0" borderId="0" xfId="0" applyFont="1" applyFill="1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74" fillId="0" borderId="0" xfId="0" applyNumberFormat="1" applyFont="1" applyFill="1" applyBorder="1" applyAlignment="1" applyProtection="1">
      <alignment horizontal="left" vertical="center" shrinkToFit="1"/>
      <protection locked="0"/>
    </xf>
    <xf numFmtId="0" fontId="71" fillId="0" borderId="0" xfId="0" applyFont="1" applyFill="1" applyBorder="1" applyAlignment="1" applyProtection="1">
      <alignment horizontal="left" vertical="center"/>
      <protection hidden="1"/>
    </xf>
    <xf numFmtId="0" fontId="62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>
      <alignment vertical="center"/>
    </xf>
    <xf numFmtId="0" fontId="73" fillId="0" borderId="0" xfId="0" applyFont="1" applyFill="1" applyBorder="1" applyAlignment="1" applyProtection="1">
      <alignment horizontal="left" vertical="center"/>
      <protection hidden="1"/>
    </xf>
    <xf numFmtId="0" fontId="11" fillId="0" borderId="0" xfId="0" applyFont="1" applyFill="1" applyBorder="1" applyAlignment="1" applyProtection="1">
      <alignment horizontal="left" vertical="center"/>
      <protection hidden="1"/>
    </xf>
    <xf numFmtId="0" fontId="69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18" fillId="0" borderId="0" xfId="0" applyFont="1" applyFill="1" applyBorder="1" applyAlignment="1" applyProtection="1">
      <alignment horizontal="left" vertical="center"/>
      <protection hidden="1"/>
    </xf>
  </cellXfs>
  <cellStyles count="1">
    <cellStyle name="常规" xfId="0" builtinId="0"/>
  </cellStyles>
  <dxfs count="51">
    <dxf>
      <font>
        <b val="0"/>
        <i val="0"/>
        <strike val="0"/>
        <condense val="0"/>
        <extend val="0"/>
        <outline val="0"/>
        <shadow val="0"/>
        <color rgb="FF009900"/>
      </font>
      <fill>
        <patternFill patternType="solid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color rgb="FF009900"/>
      </font>
      <fill>
        <patternFill patternType="solid">
          <fgColor indexed="64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C0006"/>
        <name val="Ar"/>
        <scheme val="none"/>
      </font>
      <fill>
        <patternFill patternType="solid">
          <fgColor indexed="64"/>
          <bgColor rgb="FFFFC7CE"/>
        </patternFill>
      </fill>
    </dxf>
    <dxf>
      <font>
        <b val="0"/>
        <condense val="0"/>
        <extend val="0"/>
        <color indexed="60"/>
      </font>
      <fill>
        <patternFill patternType="solid">
          <fgColor indexed="64"/>
          <bgColor indexed="43"/>
        </patternFill>
      </fill>
    </dxf>
    <dxf>
      <font>
        <b val="0"/>
        <i val="0"/>
        <strike val="0"/>
        <condense val="0"/>
        <extend val="0"/>
        <outline val="0"/>
        <shadow val="0"/>
        <color rgb="FF7030A0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color rgb="FF993300"/>
      </font>
      <fill>
        <patternFill patternType="solid">
          <fgColor indexed="64"/>
          <bgColor rgb="FFFFFF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Ar"/>
        <scheme val="none"/>
      </font>
      <fill>
        <patternFill patternType="solid">
          <fgColor indexed="64"/>
          <bgColor rgb="FFFFCCFF"/>
        </patternFill>
      </fill>
    </dxf>
    <dxf>
      <fill>
        <patternFill patternType="solid">
          <fgColor indexed="64"/>
          <bgColor indexed="45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5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ont>
        <b val="0"/>
        <i val="0"/>
        <strike val="0"/>
        <condense val="0"/>
        <extend val="0"/>
        <outline val="0"/>
        <shadow val="0"/>
        <color rgb="FF009900"/>
      </font>
      <fill>
        <patternFill patternType="solid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color rgb="FF009900"/>
      </font>
      <fill>
        <patternFill patternType="solid">
          <fgColor indexed="64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C0006"/>
        <name val="Ar"/>
        <scheme val="none"/>
      </font>
      <fill>
        <patternFill patternType="solid">
          <fgColor indexed="64"/>
          <bgColor rgb="FFFFC7CE"/>
        </patternFill>
      </fill>
    </dxf>
    <dxf>
      <font>
        <b val="0"/>
        <condense val="0"/>
        <extend val="0"/>
        <color indexed="60"/>
      </font>
      <fill>
        <patternFill patternType="solid">
          <fgColor indexed="64"/>
          <bgColor indexed="43"/>
        </patternFill>
      </fill>
    </dxf>
    <dxf>
      <font>
        <b val="0"/>
        <i val="0"/>
        <strike val="0"/>
        <condense val="0"/>
        <extend val="0"/>
        <outline val="0"/>
        <shadow val="0"/>
        <color rgb="FF7030A0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color rgb="FF993300"/>
      </font>
      <fill>
        <patternFill patternType="solid">
          <fgColor indexed="64"/>
          <bgColor rgb="FFFFFF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Ar"/>
        <scheme val="none"/>
      </font>
      <fill>
        <patternFill patternType="solid">
          <fgColor indexed="64"/>
          <bgColor rgb="FFFFCCFF"/>
        </patternFill>
      </fill>
    </dxf>
    <dxf>
      <fill>
        <patternFill patternType="solid">
          <fgColor indexed="64"/>
          <bgColor indexed="45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5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left style="dotted">
          <color rgb="FFFF66FF"/>
        </left>
        <right style="dotted">
          <color rgb="FFFF66FF"/>
        </right>
        <top style="dotted">
          <color rgb="FFFF66FF"/>
        </top>
        <bottom style="dotted">
          <color rgb="FFFF66FF"/>
        </bottom>
      </border>
    </dxf>
    <dxf>
      <font>
        <color rgb="FFFF0000"/>
      </font>
    </dxf>
    <dxf>
      <font>
        <color rgb="FFFF0000"/>
      </font>
    </dxf>
    <dxf>
      <font>
        <b/>
        <i val="0"/>
        <color rgb="FFFF0000"/>
        <name val="宋体"/>
        <scheme val="none"/>
      </font>
      <fill>
        <patternFill>
          <bgColor rgb="FFFFFF00"/>
        </patternFill>
      </fill>
      <border>
        <left style="dotted">
          <color rgb="FFFF66FF"/>
        </left>
        <right style="dotted">
          <color rgb="FFFF66FF"/>
        </right>
        <top style="dotted">
          <color rgb="FFFF66FF"/>
        </top>
        <bottom style="dotted">
          <color rgb="FFFF66FF"/>
        </bottom>
      </border>
    </dxf>
    <dxf>
      <font>
        <color rgb="FFCC00CC"/>
        <name val="宋体"/>
        <scheme val="none"/>
      </font>
    </dxf>
    <dxf>
      <font>
        <color theme="5" tint="-0.24994659260841701"/>
        <name val="宋体"/>
        <scheme val="none"/>
      </font>
    </dxf>
    <dxf>
      <font>
        <b val="0"/>
        <i val="0"/>
        <strike val="0"/>
        <condense val="0"/>
        <extend val="0"/>
        <outline val="0"/>
        <shadow val="0"/>
        <color rgb="FF009900"/>
      </font>
      <fill>
        <patternFill patternType="solid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color rgb="FF009900"/>
      </font>
      <fill>
        <patternFill patternType="solid">
          <fgColor indexed="64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C0006"/>
        <name val="Ar"/>
        <scheme val="none"/>
      </font>
      <fill>
        <patternFill patternType="solid">
          <fgColor indexed="64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color rgb="FF009900"/>
      </font>
      <fill>
        <patternFill patternType="solid">
          <fgColor indexed="64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color rgb="FF009900"/>
      </font>
      <fill>
        <patternFill patternType="solid">
          <fgColor indexed="64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C0006"/>
        <name val="Ar"/>
        <scheme val="none"/>
      </font>
      <fill>
        <patternFill patternType="solid">
          <fgColor indexed="64"/>
          <bgColor rgb="FFFFC7CE"/>
        </patternFill>
      </fill>
    </dxf>
    <dxf>
      <font>
        <color rgb="FFFFFF00"/>
      </font>
      <fill>
        <patternFill>
          <bgColor rgb="FFC00000"/>
        </patternFill>
      </fill>
    </dxf>
    <dxf>
      <font>
        <color rgb="FFFF0000"/>
      </font>
      <fill>
        <patternFill>
          <bgColor rgb="FFFFFF00"/>
        </patternFill>
      </fill>
    </dxf>
    <dxf>
      <font>
        <b val="0"/>
        <condense val="0"/>
        <extend val="0"/>
        <color indexed="60"/>
      </font>
      <fill>
        <patternFill patternType="solid">
          <fgColor indexed="64"/>
          <bgColor indexed="43"/>
        </patternFill>
      </fill>
    </dxf>
    <dxf>
      <font>
        <b val="0"/>
        <i val="0"/>
        <strike val="0"/>
        <condense val="0"/>
        <extend val="0"/>
        <outline val="0"/>
        <shadow val="0"/>
        <color rgb="FF7030A0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color rgb="FF993300"/>
      </font>
      <fill>
        <patternFill patternType="solid">
          <fgColor indexed="64"/>
          <bgColor rgb="FFFFFF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Ar"/>
        <scheme val="none"/>
      </font>
      <fill>
        <patternFill patternType="solid">
          <fgColor indexed="64"/>
          <bgColor rgb="FFFFCCFF"/>
        </patternFill>
      </fill>
    </dxf>
    <dxf>
      <fill>
        <patternFill patternType="solid">
          <fgColor indexed="64"/>
          <bgColor indexed="45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5"/>
        </patternFill>
      </fill>
    </dxf>
    <dxf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indexed="4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axie.net.cn/Readme.txt" TargetMode="External"/><Relationship Id="rId13" Type="http://schemas.openxmlformats.org/officeDocument/2006/relationships/image" Target="../media/image8.png"/><Relationship Id="rId18" Type="http://schemas.openxmlformats.org/officeDocument/2006/relationships/image" Target="../media/image11.png"/><Relationship Id="rId26" Type="http://schemas.openxmlformats.org/officeDocument/2006/relationships/image" Target="../media/image18.jpeg"/><Relationship Id="rId3" Type="http://schemas.openxmlformats.org/officeDocument/2006/relationships/hyperlink" Target="http://www.daxie.net.cn/" TargetMode="External"/><Relationship Id="rId21" Type="http://schemas.openxmlformats.org/officeDocument/2006/relationships/image" Target="../media/image14.png"/><Relationship Id="rId34" Type="http://schemas.openxmlformats.org/officeDocument/2006/relationships/image" Target="../media/image23.png"/><Relationship Id="rId7" Type="http://schemas.openxmlformats.org/officeDocument/2006/relationships/image" Target="../media/image4.png"/><Relationship Id="rId12" Type="http://schemas.openxmlformats.org/officeDocument/2006/relationships/hyperlink" Target="http://www.daxie.net.cn/forum.php?mod=viewthread&amp;tid=1234" TargetMode="External"/><Relationship Id="rId17" Type="http://schemas.openxmlformats.org/officeDocument/2006/relationships/image" Target="../media/image10.png"/><Relationship Id="rId25" Type="http://schemas.openxmlformats.org/officeDocument/2006/relationships/hyperlink" Target="http://www.daxie.net.cn/forum.php?mod=viewthread&amp;tid=222" TargetMode="External"/><Relationship Id="rId33" Type="http://schemas.openxmlformats.org/officeDocument/2006/relationships/hyperlink" Target="https://www.douyin.com/video/7063799337838497032?modeFrom=userPost&amp;secUid=MS4wLjABAAAAbyaQBp57wMEUZnYUScNH9Utk7tCw5KwEkOGwGJbLmDiADvHP-1gsEg_d0vnPaFQC" TargetMode="External"/><Relationship Id="rId2" Type="http://schemas.openxmlformats.org/officeDocument/2006/relationships/hyperlink" Target="http://www.daxie.net.cn:88/thread-1000-1-1.html" TargetMode="External"/><Relationship Id="rId16" Type="http://schemas.openxmlformats.org/officeDocument/2006/relationships/hyperlink" Target="http://www.daxie.net.cn/forum.php?mod=viewthread&amp;tid=1000" TargetMode="External"/><Relationship Id="rId20" Type="http://schemas.openxmlformats.org/officeDocument/2006/relationships/image" Target="../media/image13.png"/><Relationship Id="rId29" Type="http://schemas.openxmlformats.org/officeDocument/2006/relationships/image" Target="../media/image20.png"/><Relationship Id="rId1" Type="http://schemas.openxmlformats.org/officeDocument/2006/relationships/hyperlink" Target="http://www.daxie.net.cn/thread-1000-1-1.html" TargetMode="External"/><Relationship Id="rId6" Type="http://schemas.openxmlformats.org/officeDocument/2006/relationships/image" Target="../media/image3.png"/><Relationship Id="rId11" Type="http://schemas.openxmlformats.org/officeDocument/2006/relationships/image" Target="../media/image7.png"/><Relationship Id="rId24" Type="http://schemas.openxmlformats.org/officeDocument/2006/relationships/image" Target="../media/image17.png"/><Relationship Id="rId32" Type="http://schemas.openxmlformats.org/officeDocument/2006/relationships/image" Target="../media/image22.png"/><Relationship Id="rId5" Type="http://schemas.openxmlformats.org/officeDocument/2006/relationships/hyperlink" Target="http://wpa.qq.com/msgrd?v=3&amp;uin=344388696&amp;site=qq&amp;menu=yes" TargetMode="External"/><Relationship Id="rId15" Type="http://schemas.openxmlformats.org/officeDocument/2006/relationships/image" Target="../media/image9.png"/><Relationship Id="rId23" Type="http://schemas.openxmlformats.org/officeDocument/2006/relationships/image" Target="../media/image16.png"/><Relationship Id="rId28" Type="http://schemas.openxmlformats.org/officeDocument/2006/relationships/hyperlink" Target="http://jq.qq.com/?_wv=1027&amp;k=WuHd7W" TargetMode="External"/><Relationship Id="rId10" Type="http://schemas.openxmlformats.org/officeDocument/2006/relationships/image" Target="../media/image6.png"/><Relationship Id="rId19" Type="http://schemas.openxmlformats.org/officeDocument/2006/relationships/image" Target="../media/image12.png"/><Relationship Id="rId31" Type="http://schemas.openxmlformats.org/officeDocument/2006/relationships/hyperlink" Target="http://app.daxie.net.cn/" TargetMode="External"/><Relationship Id="rId4" Type="http://schemas.openxmlformats.org/officeDocument/2006/relationships/image" Target="../media/image2.png"/><Relationship Id="rId9" Type="http://schemas.openxmlformats.org/officeDocument/2006/relationships/image" Target="../media/image5.png"/><Relationship Id="rId14" Type="http://schemas.openxmlformats.org/officeDocument/2006/relationships/hyperlink" Target="http://www.daxie.net.cn/forum.php?mod=viewthread&amp;tid=215" TargetMode="External"/><Relationship Id="rId22" Type="http://schemas.openxmlformats.org/officeDocument/2006/relationships/image" Target="../media/image15.png"/><Relationship Id="rId27" Type="http://schemas.openxmlformats.org/officeDocument/2006/relationships/image" Target="../media/image19.png"/><Relationship Id="rId30" Type="http://schemas.openxmlformats.org/officeDocument/2006/relationships/image" Target="../media/image21.png"/><Relationship Id="rId35" Type="http://schemas.openxmlformats.org/officeDocument/2006/relationships/hyperlink" Target="http://lab.daxie.net.cn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daxie.net.cn:88/thread-1000-1-1.html" TargetMode="External"/><Relationship Id="rId1" Type="http://schemas.openxmlformats.org/officeDocument/2006/relationships/hyperlink" Target="http://www.daxie.net.cn/thread-1000-1-1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266699</xdr:colOff>
      <xdr:row>14</xdr:row>
      <xdr:rowOff>380997</xdr:rowOff>
    </xdr:to>
    <xdr:sp macro="" textlink="">
      <xdr:nvSpPr>
        <xdr:cNvPr id="4" name="矩形 3"/>
        <xdr:cNvSpPr/>
      </xdr:nvSpPr>
      <xdr:spPr>
        <a:xfrm>
          <a:off x="0" y="0"/>
          <a:ext cx="9620249" cy="5734047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 w="9525" cap="flat" cmpd="sng" algn="ctr">
          <a:solidFill>
            <a:srgbClr val="4A7EBB"/>
          </a:solidFill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91440" tIns="45720" rIns="91440" bIns="45720" rtlCol="0" anchor="t" upright="1"/>
        <a:lstStyle/>
        <a:p>
          <a:pPr algn="ctr">
            <a:lnSpc>
              <a:spcPts val="2100"/>
            </a:lnSpc>
          </a:pPr>
          <a:endParaRPr lang="en-US" altLang="zh-CN" sz="1800" b="1">
            <a:solidFill>
              <a:srgbClr val="FFFF00"/>
            </a:solidFill>
          </a:endParaRPr>
        </a:p>
        <a:p>
          <a:pPr algn="ctr">
            <a:lnSpc>
              <a:spcPts val="2100"/>
            </a:lnSpc>
          </a:pPr>
          <a:endParaRPr lang="en-US" altLang="zh-CN" sz="1800" b="1">
            <a:solidFill>
              <a:srgbClr val="FFFF00"/>
            </a:solidFill>
          </a:endParaRPr>
        </a:p>
        <a:p>
          <a:pPr algn="ctr">
            <a:lnSpc>
              <a:spcPts val="2100"/>
            </a:lnSpc>
          </a:pPr>
          <a:endParaRPr lang="en-US" altLang="zh-CN" sz="1800" b="1">
            <a:solidFill>
              <a:srgbClr val="FFFF00"/>
            </a:solidFill>
          </a:endParaRPr>
        </a:p>
        <a:p>
          <a:pPr algn="ctr">
            <a:lnSpc>
              <a:spcPts val="2100"/>
            </a:lnSpc>
          </a:pPr>
          <a:endParaRPr lang="en-US" altLang="zh-CN" sz="1800" b="1">
            <a:solidFill>
              <a:srgbClr val="FFFF00"/>
            </a:solidFill>
          </a:endParaRPr>
        </a:p>
        <a:p>
          <a:pPr algn="ctr">
            <a:lnSpc>
              <a:spcPts val="2400"/>
            </a:lnSpc>
          </a:pPr>
          <a:r>
            <a:rPr lang="zh-CN" altLang="en-US" sz="2000" b="1">
              <a:solidFill>
                <a:srgbClr val="FFFF00"/>
              </a:solidFill>
              <a:latin typeface="幼圆" panose="02010509060101010101" pitchFamily="49" charset="-122"/>
              <a:ea typeface="幼圆" panose="02010509060101010101" pitchFamily="49" charset="-122"/>
            </a:rPr>
            <a:t>软件管理后台已被非法破解，新大榭云平台已启动预警保护机制！</a:t>
          </a:r>
          <a:endParaRPr lang="en-US" altLang="zh-CN" sz="2000" b="1">
            <a:solidFill>
              <a:srgbClr val="FFFF00"/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2400"/>
            </a:lnSpc>
          </a:pPr>
          <a:endParaRPr lang="en-US" altLang="zh-CN" sz="2000" b="1">
            <a:solidFill>
              <a:srgbClr val="FFFF00"/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2400"/>
            </a:lnSpc>
          </a:pPr>
          <a:endParaRPr lang="en-US" altLang="zh-CN" sz="2000" b="1">
            <a:solidFill>
              <a:srgbClr val="FFFF00"/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2200"/>
            </a:lnSpc>
          </a:pPr>
          <a:r>
            <a:rPr lang="zh-CN" altLang="en-US" sz="1400" b="1">
              <a:solidFill>
                <a:schemeClr val="accent2">
                  <a:lumMod val="60000"/>
                  <a:lumOff val="40000"/>
                </a:schemeClr>
              </a:solidFill>
              <a:latin typeface="幼圆" panose="02010509060101010101" pitchFamily="49" charset="-122"/>
              <a:ea typeface="幼圆" panose="02010509060101010101" pitchFamily="49" charset="-122"/>
            </a:rPr>
            <a:t>新大榭安全实验室   </a:t>
          </a:r>
          <a:r>
            <a:rPr lang="en-US" altLang="zh-CN" sz="1800" b="1">
              <a:solidFill>
                <a:srgbClr val="FFFF00"/>
              </a:solidFill>
              <a:latin typeface="幼圆" panose="02010509060101010101" pitchFamily="49" charset="-122"/>
              <a:ea typeface="幼圆" panose="02010509060101010101" pitchFamily="49" charset="-122"/>
            </a:rPr>
            <a:t>For Link 6.8.23.0101</a:t>
          </a:r>
        </a:p>
        <a:p>
          <a:pPr algn="ctr">
            <a:lnSpc>
              <a:spcPts val="2200"/>
            </a:lnSpc>
          </a:pPr>
          <a:endParaRPr lang="en-US" altLang="zh-CN" sz="1800" b="1">
            <a:solidFill>
              <a:srgbClr val="FFFF00"/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2000"/>
            </a:lnSpc>
          </a:pPr>
          <a:r>
            <a:rPr lang="zh-CN" altLang="en-US" sz="1600" b="1">
              <a:solidFill>
                <a:schemeClr val="bg1"/>
              </a:solidFill>
              <a:latin typeface="幼圆" panose="02010509060101010101" pitchFamily="49" charset="-122"/>
              <a:ea typeface="幼圆" panose="02010509060101010101" pitchFamily="49" charset="-122"/>
            </a:rPr>
            <a:t> 新大榭孵化平台  </a:t>
          </a:r>
          <a:r>
            <a:rPr lang="en-US" altLang="zh-CN" sz="1600" b="1">
              <a:solidFill>
                <a:schemeClr val="bg1"/>
              </a:solidFill>
              <a:latin typeface="幼圆" panose="02010509060101010101" pitchFamily="49" charset="-122"/>
              <a:ea typeface="幼圆" panose="02010509060101010101" pitchFamily="49" charset="-122"/>
            </a:rPr>
            <a:t>http://lab.daxie.net.cn/</a:t>
          </a:r>
        </a:p>
        <a:p>
          <a:pPr algn="ctr">
            <a:lnSpc>
              <a:spcPts val="2000"/>
            </a:lnSpc>
          </a:pPr>
          <a:endParaRPr lang="en-US" altLang="zh-CN" sz="1600" b="1">
            <a:solidFill>
              <a:schemeClr val="bg1"/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2000"/>
            </a:lnSpc>
          </a:pPr>
          <a:endParaRPr lang="en-US" altLang="zh-CN" sz="1600" b="1">
            <a:solidFill>
              <a:schemeClr val="bg1"/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1900"/>
            </a:lnSpc>
          </a:pPr>
          <a:endParaRPr lang="en-US" altLang="zh-CN" sz="1600" b="1">
            <a:solidFill>
              <a:schemeClr val="bg1"/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2000"/>
            </a:lnSpc>
          </a:pPr>
          <a:r>
            <a:rPr lang="zh-CN" altLang="en-US" sz="1600" b="1">
              <a:solidFill>
                <a:srgbClr val="C00000"/>
              </a:solidFill>
              <a:latin typeface="幼圆" panose="02010509060101010101" pitchFamily="49" charset="-122"/>
              <a:ea typeface="幼圆" panose="02010509060101010101" pitchFamily="49" charset="-122"/>
            </a:rPr>
            <a:t>警告：当前用户为非法访问！新大榭已收集了您的</a:t>
          </a:r>
          <a:r>
            <a:rPr lang="en-US" altLang="zh-CN" sz="1600" b="1">
              <a:solidFill>
                <a:srgbClr val="C00000"/>
              </a:solidFill>
              <a:latin typeface="幼圆" panose="02010509060101010101" pitchFamily="49" charset="-122"/>
              <a:ea typeface="幼圆" panose="02010509060101010101" pitchFamily="49" charset="-122"/>
            </a:rPr>
            <a:t>IP</a:t>
          </a:r>
          <a:r>
            <a:rPr lang="zh-CN" altLang="en-US" sz="1600" b="1">
              <a:solidFill>
                <a:srgbClr val="C00000"/>
              </a:solidFill>
              <a:latin typeface="幼圆" panose="02010509060101010101" pitchFamily="49" charset="-122"/>
              <a:ea typeface="幼圆" panose="02010509060101010101" pitchFamily="49" charset="-122"/>
            </a:rPr>
            <a:t>、用户日志及</a:t>
          </a:r>
          <a:r>
            <a:rPr lang="en-US" altLang="zh-CN" sz="1600" b="1">
              <a:solidFill>
                <a:srgbClr val="C00000"/>
              </a:solidFill>
              <a:latin typeface="幼圆" panose="02010509060101010101" pitchFamily="49" charset="-122"/>
              <a:ea typeface="幼圆" panose="02010509060101010101" pitchFamily="49" charset="-122"/>
            </a:rPr>
            <a:t>Cookis</a:t>
          </a:r>
          <a:r>
            <a:rPr lang="zh-CN" altLang="en-US" sz="1600" b="1">
              <a:solidFill>
                <a:srgbClr val="C00000"/>
              </a:solidFill>
              <a:latin typeface="幼圆" panose="02010509060101010101" pitchFamily="49" charset="-122"/>
              <a:ea typeface="幼圆" panose="02010509060101010101" pitchFamily="49" charset="-122"/>
            </a:rPr>
            <a:t>等相关记录！</a:t>
          </a:r>
          <a:endParaRPr lang="en-US" altLang="zh-CN" sz="1600" b="1">
            <a:solidFill>
              <a:srgbClr val="C00000"/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2000"/>
            </a:lnSpc>
          </a:pPr>
          <a:endParaRPr lang="en-US" altLang="zh-CN" sz="1600" b="1">
            <a:solidFill>
              <a:srgbClr val="C00000"/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1400"/>
            </a:lnSpc>
          </a:pPr>
          <a:endParaRPr lang="en-US" altLang="zh-CN" sz="1200" b="1">
            <a:solidFill>
              <a:schemeClr val="bg1">
                <a:lumMod val="75000"/>
              </a:schemeClr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1400"/>
            </a:lnSpc>
          </a:pPr>
          <a:endParaRPr lang="en-US" altLang="zh-CN" sz="1200" b="1">
            <a:solidFill>
              <a:schemeClr val="bg1">
                <a:lumMod val="75000"/>
              </a:schemeClr>
            </a:solidFill>
            <a:latin typeface="幼圆" panose="02010509060101010101" pitchFamily="49" charset="-122"/>
            <a:ea typeface="幼圆" panose="02010509060101010101" pitchFamily="49" charset="-122"/>
          </a:endParaRPr>
        </a:p>
        <a:p>
          <a:pPr algn="ctr">
            <a:lnSpc>
              <a:spcPts val="1400"/>
            </a:lnSpc>
          </a:pPr>
          <a:r>
            <a:rPr lang="en-US" altLang="zh-CN" sz="1200" b="1">
              <a:solidFill>
                <a:schemeClr val="bg1">
                  <a:lumMod val="50000"/>
                </a:schemeClr>
              </a:solidFill>
              <a:latin typeface="幼圆" panose="02010509060101010101" pitchFamily="49" charset="-122"/>
              <a:ea typeface="幼圆" panose="02010509060101010101" pitchFamily="49" charset="-122"/>
            </a:rPr>
            <a:t>...... </a:t>
          </a:r>
          <a:r>
            <a:rPr lang="zh-CN" altLang="en-US" sz="1200" b="1">
              <a:solidFill>
                <a:schemeClr val="bg1">
                  <a:lumMod val="50000"/>
                </a:schemeClr>
              </a:solidFill>
              <a:latin typeface="幼圆" panose="02010509060101010101" pitchFamily="49" charset="-122"/>
              <a:ea typeface="幼圆" panose="02010509060101010101" pitchFamily="49" charset="-122"/>
            </a:rPr>
            <a:t>为保障用户数据安全，本地软件已被新大榭云服务器临时屏蔽，同时核心数据库已启动自动销毁程序 </a:t>
          </a:r>
          <a:r>
            <a:rPr lang="en-US" altLang="zh-CN" sz="1200" b="1">
              <a:solidFill>
                <a:schemeClr val="bg1">
                  <a:lumMod val="50000"/>
                </a:schemeClr>
              </a:solidFill>
              <a:latin typeface="幼圆" panose="02010509060101010101" pitchFamily="49" charset="-122"/>
              <a:ea typeface="幼圆" panose="02010509060101010101" pitchFamily="49" charset="-122"/>
            </a:rPr>
            <a:t>......</a:t>
          </a:r>
        </a:p>
      </xdr:txBody>
    </xdr:sp>
    <xdr:clientData/>
  </xdr:twoCellAnchor>
  <xdr:twoCellAnchor editAs="oneCell">
    <xdr:from>
      <xdr:col>2</xdr:col>
      <xdr:colOff>180975</xdr:colOff>
      <xdr:row>4</xdr:row>
      <xdr:rowOff>352425</xdr:rowOff>
    </xdr:from>
    <xdr:to>
      <xdr:col>3</xdr:col>
      <xdr:colOff>285750</xdr:colOff>
      <xdr:row>7</xdr:row>
      <xdr:rowOff>219075</xdr:rowOff>
    </xdr:to>
    <xdr:pic>
      <xdr:nvPicPr>
        <xdr:cNvPr id="359693" name="图片 4" descr="jingga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28725" y="1876425"/>
          <a:ext cx="114300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2" name="矩形 3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DC105A32-A403-4F32-8D50-2ABCE4B17E2C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3" name="矩形 29">
          <a:hlinkClick xmlns:r="http://schemas.openxmlformats.org/officeDocument/2006/relationships" r:id="rId2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D6C6E8F0-7A40-44DF-B138-1E2B6215E130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4" name="矩形 37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AE6DF283-E069-4520-B1E6-E1AE3933A3CC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5" name="矩形 63">
          <a:hlinkClick xmlns:r="http://schemas.openxmlformats.org/officeDocument/2006/relationships" r:id="rId2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DE5D860E-F394-48CF-99DE-AE37A1FFEB88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2</xdr:col>
      <xdr:colOff>47625</xdr:colOff>
      <xdr:row>20</xdr:row>
      <xdr:rowOff>38100</xdr:rowOff>
    </xdr:from>
    <xdr:to>
      <xdr:col>2</xdr:col>
      <xdr:colOff>587625</xdr:colOff>
      <xdr:row>20</xdr:row>
      <xdr:rowOff>203700</xdr:rowOff>
    </xdr:to>
    <xdr:sp macro="" textlink="$AH$21">
      <xdr:nvSpPr>
        <xdr:cNvPr id="6" name="矩形 44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161925" y="4067175"/>
          <a:ext cx="540000" cy="1656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F5EDFE7A-15BF-4D5F-AC47-2DB436A277D1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2</xdr:col>
      <xdr:colOff>47625</xdr:colOff>
      <xdr:row>20</xdr:row>
      <xdr:rowOff>38100</xdr:rowOff>
    </xdr:from>
    <xdr:to>
      <xdr:col>2</xdr:col>
      <xdr:colOff>587625</xdr:colOff>
      <xdr:row>20</xdr:row>
      <xdr:rowOff>203700</xdr:rowOff>
    </xdr:to>
    <xdr:sp macro="" textlink="$AH$21">
      <xdr:nvSpPr>
        <xdr:cNvPr id="7" name="矩形 291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161925" y="4067175"/>
          <a:ext cx="540000" cy="1656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0BBCE4A9-F5C7-4466-B192-5DD05CE14982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8" name="矩形 3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B3BFBF0C-BA5F-4BEF-B7CE-1226C16210CF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9" name="矩形 29">
          <a:hlinkClick xmlns:r="http://schemas.openxmlformats.org/officeDocument/2006/relationships" r:id="rId2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9AA219EB-AC71-4524-8DAC-0A77B2CD2A2C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10" name="矩形 37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5381F6CD-301A-4A2F-9D75-5270B220B7F3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11" name="矩形 63">
          <a:hlinkClick xmlns:r="http://schemas.openxmlformats.org/officeDocument/2006/relationships" r:id="rId2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AA1ABD02-F0DF-4F71-BF09-D194919E7396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2</xdr:col>
      <xdr:colOff>47625</xdr:colOff>
      <xdr:row>20</xdr:row>
      <xdr:rowOff>38100</xdr:rowOff>
    </xdr:from>
    <xdr:to>
      <xdr:col>2</xdr:col>
      <xdr:colOff>587625</xdr:colOff>
      <xdr:row>20</xdr:row>
      <xdr:rowOff>203700</xdr:rowOff>
    </xdr:to>
    <xdr:sp macro="" textlink="$AH$21">
      <xdr:nvSpPr>
        <xdr:cNvPr id="12" name="矩形 44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161925" y="4067175"/>
          <a:ext cx="540000" cy="1656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08138FCC-FA16-4EE7-BE67-75A5A1DE2929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2</xdr:col>
      <xdr:colOff>47625</xdr:colOff>
      <xdr:row>20</xdr:row>
      <xdr:rowOff>38100</xdr:rowOff>
    </xdr:from>
    <xdr:to>
      <xdr:col>2</xdr:col>
      <xdr:colOff>587625</xdr:colOff>
      <xdr:row>20</xdr:row>
      <xdr:rowOff>203700</xdr:rowOff>
    </xdr:to>
    <xdr:sp macro="" textlink="$AH$21">
      <xdr:nvSpPr>
        <xdr:cNvPr id="13" name="矩形 291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161925" y="4067175"/>
          <a:ext cx="540000" cy="1656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B67C9C6D-D367-408A-9E6D-BBCB6C9A8AEF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oneCellAnchor>
    <xdr:from>
      <xdr:col>5</xdr:col>
      <xdr:colOff>504825</xdr:colOff>
      <xdr:row>5</xdr:row>
      <xdr:rowOff>219004</xdr:rowOff>
    </xdr:from>
    <xdr:ext cx="323850" cy="172227"/>
    <xdr:sp macro="" textlink="$AD$8">
      <xdr:nvSpPr>
        <xdr:cNvPr id="14" name="矩形 9"/>
        <xdr:cNvSpPr/>
      </xdr:nvSpPr>
      <xdr:spPr>
        <a:xfrm>
          <a:off x="2171700" y="1133404"/>
          <a:ext cx="323850" cy="172227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>
          <a:spAutoFit/>
        </a:bodyPr>
        <a:lstStyle/>
        <a:p>
          <a:fld id="{A9CD026C-9267-495D-9C82-DFF6E3A9B948}" type="TxLink">
            <a:rPr lang="zh-CN" altLang="en-US" sz="1000" b="0" i="0" u="none" strike="noStrike">
              <a:solidFill>
                <a:srgbClr val="FF0000"/>
              </a:solidFill>
              <a:latin typeface="宋体"/>
              <a:ea typeface="宋体"/>
            </a:rPr>
            <a:pPr/>
            <a:t> </a:t>
          </a:fld>
          <a:endParaRPr lang="zh-CN" altLang="en-US">
            <a:solidFill>
              <a:srgbClr val="FF0000"/>
            </a:solidFill>
          </a:endParaRPr>
        </a:p>
      </xdr:txBody>
    </xdr:sp>
    <xdr:clientData/>
  </xdr:oneCellAnchor>
  <xdr:twoCellAnchor>
    <xdr:from>
      <xdr:col>2</xdr:col>
      <xdr:colOff>9525</xdr:colOff>
      <xdr:row>2</xdr:row>
      <xdr:rowOff>9525</xdr:rowOff>
    </xdr:from>
    <xdr:to>
      <xdr:col>8</xdr:col>
      <xdr:colOff>410925</xdr:colOff>
      <xdr:row>2</xdr:row>
      <xdr:rowOff>315525</xdr:rowOff>
    </xdr:to>
    <xdr:sp macro="" textlink="">
      <xdr:nvSpPr>
        <xdr:cNvPr id="15" name="矩形 1"/>
        <xdr:cNvSpPr/>
      </xdr:nvSpPr>
      <xdr:spPr>
        <a:xfrm>
          <a:off x="123825" y="123825"/>
          <a:ext cx="3125550" cy="306000"/>
        </a:xfrm>
        <a:prstGeom prst="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l" rtl="1">
            <a:defRPr sz="1000"/>
          </a:pPr>
          <a:r>
            <a:rPr lang="zh-CN" altLang="en-US" sz="1100" b="1" i="0" strike="noStrike">
              <a:solidFill>
                <a:srgbClr val="FFFF00"/>
              </a:solidFill>
              <a:latin typeface="宋体" panose="02010600030101010101" pitchFamily="7" charset="-122"/>
              <a:ea typeface="宋体" panose="02010600030101010101" pitchFamily="7" charset="-122"/>
            </a:rPr>
            <a:t>       </a:t>
          </a:r>
          <a:r>
            <a:rPr lang="zh-CN" altLang="en-US" sz="1100" b="1" i="0" strike="noStrike" baseline="0">
              <a:solidFill>
                <a:srgbClr val="FFFF00"/>
              </a:solidFill>
              <a:latin typeface="宋体" panose="02010600030101010101" pitchFamily="7" charset="-122"/>
              <a:ea typeface="宋体" panose="02010600030101010101" pitchFamily="7" charset="-122"/>
            </a:rPr>
            <a:t>  </a:t>
          </a:r>
          <a:r>
            <a:rPr lang="zh-CN" altLang="en-US" sz="1100" b="1" i="0" strike="noStrike">
              <a:solidFill>
                <a:srgbClr val="FFFF00"/>
              </a:solidFill>
              <a:latin typeface="宋体" panose="02010600030101010101" pitchFamily="7" charset="-122"/>
              <a:ea typeface="宋体" panose="02010600030101010101" pitchFamily="7" charset="-122"/>
            </a:rPr>
            <a:t>版 本 检 测 </a:t>
          </a:r>
          <a:r>
            <a:rPr lang="en-US" altLang="zh-CN" sz="900" b="0" i="0" strike="noStrike">
              <a:solidFill>
                <a:srgbClr val="FFFF00"/>
              </a:solidFill>
              <a:latin typeface="宋体" panose="02010600030101010101" pitchFamily="7" charset="-122"/>
              <a:ea typeface="宋体" panose="02010600030101010101" pitchFamily="7" charset="-122"/>
            </a:rPr>
            <a:t>( Link </a:t>
          </a:r>
          <a:r>
            <a:rPr lang="zh-CN" altLang="en-US" sz="900" b="0" i="0" strike="noStrike">
              <a:solidFill>
                <a:srgbClr val="FFFF00"/>
              </a:solidFill>
              <a:latin typeface="宋体" panose="02010600030101010101" pitchFamily="7" charset="-122"/>
              <a:ea typeface="宋体" panose="02010600030101010101" pitchFamily="7" charset="-122"/>
            </a:rPr>
            <a:t>内核插件 </a:t>
          </a:r>
          <a:r>
            <a:rPr lang="en-US" altLang="zh-CN" sz="900" b="0" i="0" strike="noStrike">
              <a:solidFill>
                <a:srgbClr val="FFFF00"/>
              </a:solidFill>
              <a:latin typeface="宋体" panose="02010600030101010101" pitchFamily="7" charset="-122"/>
              <a:ea typeface="宋体" panose="02010600030101010101" pitchFamily="7" charset="-122"/>
            </a:rPr>
            <a:t>V6.8</a:t>
          </a:r>
          <a:r>
            <a:rPr lang="zh-CN" altLang="en-US" sz="900" b="0" i="0" strike="noStrike">
              <a:solidFill>
                <a:srgbClr val="FFFF00"/>
              </a:solidFill>
              <a:latin typeface="宋体" panose="02010600030101010101" pitchFamily="7" charset="-122"/>
              <a:ea typeface="宋体" panose="02010600030101010101" pitchFamily="7" charset="-122"/>
            </a:rPr>
            <a:t> </a:t>
          </a:r>
          <a:r>
            <a:rPr lang="en-US" altLang="zh-CN" sz="900" b="0" i="0" strike="noStrike">
              <a:solidFill>
                <a:srgbClr val="FFFF00"/>
              </a:solidFill>
              <a:latin typeface="宋体" panose="02010600030101010101" pitchFamily="7" charset="-122"/>
              <a:ea typeface="宋体" panose="02010600030101010101" pitchFamily="7" charset="-122"/>
            </a:rPr>
            <a:t>)</a:t>
          </a:r>
        </a:p>
      </xdr:txBody>
    </xdr:sp>
    <xdr:clientData/>
  </xdr:twoCellAnchor>
  <xdr:twoCellAnchor>
    <xdr:from>
      <xdr:col>2</xdr:col>
      <xdr:colOff>9525</xdr:colOff>
      <xdr:row>9</xdr:row>
      <xdr:rowOff>9525</xdr:rowOff>
    </xdr:from>
    <xdr:to>
      <xdr:col>8</xdr:col>
      <xdr:colOff>410925</xdr:colOff>
      <xdr:row>9</xdr:row>
      <xdr:rowOff>315525</xdr:rowOff>
    </xdr:to>
    <xdr:sp macro="" textlink="">
      <xdr:nvSpPr>
        <xdr:cNvPr id="16" name="矩形 2"/>
        <xdr:cNvSpPr/>
      </xdr:nvSpPr>
      <xdr:spPr>
        <a:xfrm>
          <a:off x="123825" y="1647825"/>
          <a:ext cx="3125550" cy="306000"/>
        </a:xfrm>
        <a:prstGeom prst="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l" rtl="1">
            <a:defRPr sz="1000"/>
          </a:pPr>
          <a:r>
            <a:rPr lang="zh-CN" altLang="en-US" sz="1100" b="0" i="0" strike="noStrike">
              <a:solidFill>
                <a:srgbClr val="FFFFFF"/>
              </a:solidFill>
              <a:latin typeface="宋体" panose="02010600030101010101" pitchFamily="7" charset="-122"/>
              <a:ea typeface="宋体" panose="02010600030101010101" pitchFamily="7" charset="-122"/>
            </a:rPr>
            <a:t>         </a:t>
          </a:r>
          <a:r>
            <a:rPr lang="zh-CN" altLang="en-US" sz="1100" b="1" i="0" strike="noStrike">
              <a:solidFill>
                <a:srgbClr val="FFFF00"/>
              </a:solidFill>
              <a:latin typeface="宋体" panose="02010600030101010101" pitchFamily="7" charset="-122"/>
              <a:ea typeface="宋体" panose="02010600030101010101" pitchFamily="7" charset="-122"/>
            </a:rPr>
            <a:t>版 权 声 明  </a:t>
          </a:r>
          <a:r>
            <a:rPr lang="en-US" sz="900" b="0" i="0">
              <a:solidFill>
                <a:srgbClr val="FFFF00"/>
              </a:solidFill>
              <a:latin typeface="+mn-ea"/>
              <a:ea typeface="+mn-ea"/>
              <a:cs typeface="+mn-cs"/>
            </a:rPr>
            <a:t>(  </a:t>
          </a:r>
          <a:r>
            <a:rPr lang="zh-CN" altLang="en-US" sz="900" b="0" i="0">
              <a:solidFill>
                <a:srgbClr val="FFFF00"/>
              </a:solidFill>
              <a:latin typeface="+mn-ea"/>
              <a:ea typeface="+mn-ea"/>
              <a:cs typeface="+mn-cs"/>
            </a:rPr>
            <a:t>关 于 我 们 </a:t>
          </a:r>
          <a:r>
            <a:rPr lang="en-US" sz="900" b="0" i="0">
              <a:solidFill>
                <a:srgbClr val="FFFF00"/>
              </a:solidFill>
              <a:latin typeface="+mn-ea"/>
              <a:ea typeface="+mn-ea"/>
              <a:cs typeface="+mn-cs"/>
            </a:rPr>
            <a:t>)</a:t>
          </a:r>
          <a:r>
            <a:rPr lang="zh-CN" altLang="en-US" sz="900" b="1" i="0" strike="noStrike">
              <a:solidFill>
                <a:srgbClr val="FFFF00"/>
              </a:solidFill>
              <a:latin typeface="+mn-ea"/>
              <a:ea typeface="+mn-ea"/>
            </a:rPr>
            <a:t>  </a:t>
          </a:r>
        </a:p>
      </xdr:txBody>
    </xdr:sp>
    <xdr:clientData/>
  </xdr:twoCellAnchor>
  <xdr:twoCellAnchor>
    <xdr:from>
      <xdr:col>2</xdr:col>
      <xdr:colOff>9525</xdr:colOff>
      <xdr:row>23</xdr:row>
      <xdr:rowOff>9525</xdr:rowOff>
    </xdr:from>
    <xdr:to>
      <xdr:col>8</xdr:col>
      <xdr:colOff>410925</xdr:colOff>
      <xdr:row>23</xdr:row>
      <xdr:rowOff>315525</xdr:rowOff>
    </xdr:to>
    <xdr:sp macro="" textlink="">
      <xdr:nvSpPr>
        <xdr:cNvPr id="17" name="矩形 3"/>
        <xdr:cNvSpPr/>
      </xdr:nvSpPr>
      <xdr:spPr>
        <a:xfrm>
          <a:off x="123825" y="4791075"/>
          <a:ext cx="3125550" cy="306000"/>
        </a:xfrm>
        <a:prstGeom prst="rect">
          <a:avLst/>
        </a:prstGeom>
        <a:ln>
          <a:solidFill>
            <a:schemeClr val="accent5">
              <a:shade val="95000"/>
              <a:satMod val="105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l" rtl="1">
            <a:defRPr sz="1000"/>
          </a:pPr>
          <a:r>
            <a:rPr lang="zh-CN" altLang="en-US" sz="1100" b="0" i="0" strike="noStrike">
              <a:solidFill>
                <a:srgbClr val="FFFFFF"/>
              </a:solidFill>
              <a:latin typeface="宋体" panose="02010600030101010101" pitchFamily="7" charset="-122"/>
              <a:ea typeface="宋体" panose="02010600030101010101" pitchFamily="7" charset="-122"/>
            </a:rPr>
            <a:t>         </a:t>
          </a:r>
          <a:r>
            <a:rPr lang="zh-CN" altLang="en-US" sz="1100" b="1" i="0" strike="noStrike">
              <a:solidFill>
                <a:srgbClr val="FFFF00"/>
              </a:solidFill>
              <a:latin typeface="+mn-ea"/>
              <a:ea typeface="+mn-ea"/>
            </a:rPr>
            <a:t>用 户 注 册</a:t>
          </a:r>
          <a:r>
            <a:rPr lang="zh-CN" altLang="en-US" sz="1100" b="1" i="0" strike="noStrike" baseline="0">
              <a:solidFill>
                <a:srgbClr val="FFFF00"/>
              </a:solidFill>
              <a:latin typeface="+mn-ea"/>
              <a:ea typeface="+mn-ea"/>
              <a:cs typeface="+mn-cs"/>
            </a:rPr>
            <a:t> </a:t>
          </a:r>
          <a:r>
            <a:rPr lang="zh-CN" altLang="en-US" sz="900" b="1" i="0">
              <a:solidFill>
                <a:srgbClr val="FFFF00"/>
              </a:solidFill>
              <a:latin typeface="+mn-ea"/>
              <a:ea typeface="+mn-ea"/>
              <a:cs typeface="+mn-cs"/>
            </a:rPr>
            <a:t> </a:t>
          </a:r>
          <a:r>
            <a:rPr lang="en-US" sz="900" b="0" i="0">
              <a:solidFill>
                <a:srgbClr val="FFFF00"/>
              </a:solidFill>
              <a:latin typeface="+mn-ea"/>
              <a:ea typeface="+mn-ea"/>
              <a:cs typeface="+mn-cs"/>
            </a:rPr>
            <a:t>( </a:t>
          </a:r>
          <a:r>
            <a:rPr lang="zh-CN" altLang="en-US" sz="900" b="0" i="0" baseline="0">
              <a:solidFill>
                <a:srgbClr val="FFFF00"/>
              </a:solidFill>
              <a:latin typeface="+mn-ea"/>
              <a:ea typeface="+mn-ea"/>
              <a:cs typeface="+mn-cs"/>
            </a:rPr>
            <a:t> 授 权 信 息 </a:t>
          </a:r>
          <a:r>
            <a:rPr lang="en-US" sz="900" b="0" i="0">
              <a:solidFill>
                <a:srgbClr val="FFFF00"/>
              </a:solidFill>
              <a:latin typeface="+mn-ea"/>
              <a:ea typeface="+mn-ea"/>
              <a:cs typeface="+mn-cs"/>
            </a:rPr>
            <a:t>)</a:t>
          </a:r>
          <a:r>
            <a:rPr lang="zh-CN" altLang="en-US" sz="900" b="1" i="0">
              <a:solidFill>
                <a:srgbClr val="FFFF00"/>
              </a:solidFill>
              <a:latin typeface="+mn-ea"/>
              <a:ea typeface="+mn-ea"/>
              <a:cs typeface="+mn-cs"/>
            </a:rPr>
            <a:t>    </a:t>
          </a:r>
          <a:endParaRPr lang="zh-CN" altLang="en-US" sz="900" b="1" i="0" strike="noStrike">
            <a:solidFill>
              <a:srgbClr val="FFFF0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8</xdr:col>
      <xdr:colOff>161925</xdr:colOff>
      <xdr:row>12</xdr:row>
      <xdr:rowOff>9525</xdr:rowOff>
    </xdr:from>
    <xdr:to>
      <xdr:col>8</xdr:col>
      <xdr:colOff>314325</xdr:colOff>
      <xdr:row>12</xdr:row>
      <xdr:rowOff>209550</xdr:rowOff>
    </xdr:to>
    <xdr:pic>
      <xdr:nvPicPr>
        <xdr:cNvPr id="374412" name="图片 36" descr="sucaiwcom24730000sj.gif">
          <a:hlinkClick xmlns:r="http://schemas.openxmlformats.org/officeDocument/2006/relationships" r:id="rId3" tooltip="欢迎访问新大榭论坛 | 始创于2008年（相伴15年，新大榭感谢有您！）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19425" y="2447925"/>
          <a:ext cx="1524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152400</xdr:colOff>
      <xdr:row>21</xdr:row>
      <xdr:rowOff>38100</xdr:rowOff>
    </xdr:from>
    <xdr:to>
      <xdr:col>8</xdr:col>
      <xdr:colOff>295275</xdr:colOff>
      <xdr:row>21</xdr:row>
      <xdr:rowOff>190500</xdr:rowOff>
    </xdr:to>
    <xdr:pic>
      <xdr:nvPicPr>
        <xdr:cNvPr id="374413" name="图片 8" descr="qq.gif">
          <a:hlinkClick xmlns:r="http://schemas.openxmlformats.org/officeDocument/2006/relationships" r:id="rId5" tooltip="与软件作者QQ在线交流，非诚勿扰！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009900" y="4533900"/>
          <a:ext cx="1428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152400</xdr:colOff>
      <xdr:row>18</xdr:row>
      <xdr:rowOff>47625</xdr:rowOff>
    </xdr:from>
    <xdr:to>
      <xdr:col>8</xdr:col>
      <xdr:colOff>285750</xdr:colOff>
      <xdr:row>18</xdr:row>
      <xdr:rowOff>171450</xdr:rowOff>
    </xdr:to>
    <xdr:pic>
      <xdr:nvPicPr>
        <xdr:cNvPr id="374414" name="图片 18" descr="mail.gi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009900" y="3857625"/>
          <a:ext cx="133350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171450</xdr:colOff>
      <xdr:row>10</xdr:row>
      <xdr:rowOff>47625</xdr:rowOff>
    </xdr:from>
    <xdr:to>
      <xdr:col>8</xdr:col>
      <xdr:colOff>304800</xdr:colOff>
      <xdr:row>10</xdr:row>
      <xdr:rowOff>180975</xdr:rowOff>
    </xdr:to>
    <xdr:pic>
      <xdr:nvPicPr>
        <xdr:cNvPr id="374415" name="图片 20" descr="icon4.gif">
          <a:hlinkClick xmlns:r="http://schemas.openxmlformats.org/officeDocument/2006/relationships" r:id="rId8" tooltip="关于新大榭的传说...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028950" y="2028825"/>
          <a:ext cx="13335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161925</xdr:colOff>
      <xdr:row>4</xdr:row>
      <xdr:rowOff>38100</xdr:rowOff>
    </xdr:from>
    <xdr:to>
      <xdr:col>8</xdr:col>
      <xdr:colOff>295275</xdr:colOff>
      <xdr:row>4</xdr:row>
      <xdr:rowOff>171450</xdr:rowOff>
    </xdr:to>
    <xdr:pic>
      <xdr:nvPicPr>
        <xdr:cNvPr id="374416" name="图片 22" descr="81.gi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019425" y="723900"/>
          <a:ext cx="13335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142875</xdr:colOff>
      <xdr:row>3</xdr:row>
      <xdr:rowOff>38100</xdr:rowOff>
    </xdr:from>
    <xdr:to>
      <xdr:col>8</xdr:col>
      <xdr:colOff>295275</xdr:colOff>
      <xdr:row>3</xdr:row>
      <xdr:rowOff>190500</xdr:rowOff>
    </xdr:to>
    <xdr:pic>
      <xdr:nvPicPr>
        <xdr:cNvPr id="374417" name="图片 23" descr="82.gi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000375" y="4953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142875</xdr:colOff>
      <xdr:row>6</xdr:row>
      <xdr:rowOff>38100</xdr:rowOff>
    </xdr:from>
    <xdr:to>
      <xdr:col>8</xdr:col>
      <xdr:colOff>314325</xdr:colOff>
      <xdr:row>6</xdr:row>
      <xdr:rowOff>200025</xdr:rowOff>
    </xdr:to>
    <xdr:pic>
      <xdr:nvPicPr>
        <xdr:cNvPr id="374418" name="图片 42" descr="save.gif">
          <a:hlinkClick xmlns:r="http://schemas.openxmlformats.org/officeDocument/2006/relationships" r:id="rId12" tooltip="进入官方论坛下载当前软件最新版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000375" y="1181100"/>
          <a:ext cx="1714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8</xdr:col>
      <xdr:colOff>161925</xdr:colOff>
      <xdr:row>11</xdr:row>
      <xdr:rowOff>38100</xdr:rowOff>
    </xdr:from>
    <xdr:to>
      <xdr:col>8</xdr:col>
      <xdr:colOff>314325</xdr:colOff>
      <xdr:row>11</xdr:row>
      <xdr:rowOff>190500</xdr:rowOff>
    </xdr:to>
    <xdr:pic>
      <xdr:nvPicPr>
        <xdr:cNvPr id="374419" name="Picture 1241" descr="myspace.gif">
          <a:hlinkClick xmlns:r="http://schemas.openxmlformats.org/officeDocument/2006/relationships" r:id="rId14" tooltip="关于新大榭创始人的故事 | 愿你走出半生，归来仍是少年！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3019425" y="22479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76200</xdr:colOff>
      <xdr:row>24</xdr:row>
      <xdr:rowOff>57150</xdr:rowOff>
    </xdr:from>
    <xdr:to>
      <xdr:col>8</xdr:col>
      <xdr:colOff>361950</xdr:colOff>
      <xdr:row>24</xdr:row>
      <xdr:rowOff>190500</xdr:rowOff>
    </xdr:to>
    <xdr:pic>
      <xdr:nvPicPr>
        <xdr:cNvPr id="374420" name="Picture 1242" descr="time.gif">
          <a:hlinkClick xmlns:r="http://schemas.openxmlformats.org/officeDocument/2006/relationships" r:id="rId16" tooltip="软件已失效或过期，请及时联系我们在线付款！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2933700" y="5172075"/>
          <a:ext cx="28575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171450</xdr:colOff>
      <xdr:row>19</xdr:row>
      <xdr:rowOff>38100</xdr:rowOff>
    </xdr:from>
    <xdr:to>
      <xdr:col>8</xdr:col>
      <xdr:colOff>304800</xdr:colOff>
      <xdr:row>19</xdr:row>
      <xdr:rowOff>190500</xdr:rowOff>
    </xdr:to>
    <xdr:pic>
      <xdr:nvPicPr>
        <xdr:cNvPr id="374421" name="图片 27" descr="dm_icon6_yes(1).gif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3028950" y="4076700"/>
          <a:ext cx="1333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7</xdr:row>
      <xdr:rowOff>57150</xdr:rowOff>
    </xdr:from>
    <xdr:to>
      <xdr:col>2</xdr:col>
      <xdr:colOff>190500</xdr:colOff>
      <xdr:row>7</xdr:row>
      <xdr:rowOff>180975</xdr:rowOff>
    </xdr:to>
    <xdr:pic>
      <xdr:nvPicPr>
        <xdr:cNvPr id="374422" name="图片 10" descr="tubiao10.gif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90500" y="1428750"/>
          <a:ext cx="114300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114300</xdr:colOff>
      <xdr:row>5</xdr:row>
      <xdr:rowOff>9525</xdr:rowOff>
    </xdr:from>
    <xdr:to>
      <xdr:col>8</xdr:col>
      <xdr:colOff>342900</xdr:colOff>
      <xdr:row>5</xdr:row>
      <xdr:rowOff>219075</xdr:rowOff>
    </xdr:to>
    <xdr:pic macro="[0]!ThisWorkbook.update8171">
      <xdr:nvPicPr>
        <xdr:cNvPr id="374423" name="Picture 3896" descr="sucaiwcom30170knf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2971800" y="923925"/>
          <a:ext cx="2286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66675</xdr:colOff>
      <xdr:row>25</xdr:row>
      <xdr:rowOff>66675</xdr:rowOff>
    </xdr:from>
    <xdr:to>
      <xdr:col>7</xdr:col>
      <xdr:colOff>190500</xdr:colOff>
      <xdr:row>25</xdr:row>
      <xdr:rowOff>190500</xdr:rowOff>
    </xdr:to>
    <xdr:pic>
      <xdr:nvPicPr>
        <xdr:cNvPr id="374424" name="Picture 2517" descr="checked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2667000" y="5410200"/>
          <a:ext cx="1238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266700</xdr:colOff>
      <xdr:row>23</xdr:row>
      <xdr:rowOff>57150</xdr:rowOff>
    </xdr:from>
    <xdr:to>
      <xdr:col>2</xdr:col>
      <xdr:colOff>466725</xdr:colOff>
      <xdr:row>23</xdr:row>
      <xdr:rowOff>257175</xdr:rowOff>
    </xdr:to>
    <xdr:pic>
      <xdr:nvPicPr>
        <xdr:cNvPr id="374425" name="Picture 2518" descr="FIL1796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381000" y="4838700"/>
          <a:ext cx="2000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238125</xdr:colOff>
      <xdr:row>2</xdr:row>
      <xdr:rowOff>76200</xdr:rowOff>
    </xdr:from>
    <xdr:to>
      <xdr:col>2</xdr:col>
      <xdr:colOff>466725</xdr:colOff>
      <xdr:row>2</xdr:row>
      <xdr:rowOff>247650</xdr:rowOff>
    </xdr:to>
    <xdr:pic>
      <xdr:nvPicPr>
        <xdr:cNvPr id="374426" name="Picture 2520" descr="FIL1562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352425" y="200025"/>
          <a:ext cx="228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209550</xdr:colOff>
      <xdr:row>9</xdr:row>
      <xdr:rowOff>9525</xdr:rowOff>
    </xdr:from>
    <xdr:to>
      <xdr:col>2</xdr:col>
      <xdr:colOff>514350</xdr:colOff>
      <xdr:row>9</xdr:row>
      <xdr:rowOff>314325</xdr:rowOff>
    </xdr:to>
    <xdr:pic>
      <xdr:nvPicPr>
        <xdr:cNvPr id="374427" name="Picture 2523" descr="history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323850" y="16573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142875</xdr:colOff>
      <xdr:row>25</xdr:row>
      <xdr:rowOff>47625</xdr:rowOff>
    </xdr:from>
    <xdr:to>
      <xdr:col>8</xdr:col>
      <xdr:colOff>295275</xdr:colOff>
      <xdr:row>25</xdr:row>
      <xdr:rowOff>200025</xdr:rowOff>
    </xdr:to>
    <xdr:pic>
      <xdr:nvPicPr>
        <xdr:cNvPr id="374428" name="图片 28" descr="YEAR_VIP.JPG">
          <a:hlinkClick xmlns:r="http://schemas.openxmlformats.org/officeDocument/2006/relationships" r:id="rId25" tooltip="因为新大榭的梦想，现已获得 100 家企事业单位的助力支持！下一个会是您吗？！我们真情期待与您的合作！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3000375" y="539115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238126</xdr:colOff>
      <xdr:row>26</xdr:row>
      <xdr:rowOff>38100</xdr:rowOff>
    </xdr:from>
    <xdr:to>
      <xdr:col>8</xdr:col>
      <xdr:colOff>398100</xdr:colOff>
      <xdr:row>26</xdr:row>
      <xdr:rowOff>180975</xdr:rowOff>
    </xdr:to>
    <xdr:sp macro="" textlink="$Z$4">
      <xdr:nvSpPr>
        <xdr:cNvPr id="36" name="矩形 554"/>
        <xdr:cNvSpPr/>
      </xdr:nvSpPr>
      <xdr:spPr>
        <a:xfrm>
          <a:off x="2838451" y="5610225"/>
          <a:ext cx="417149" cy="142875"/>
        </a:xfrm>
        <a:prstGeom prst="rect">
          <a:avLst/>
        </a:prstGeom>
        <a:solidFill>
          <a:srgbClr val="00B0F0"/>
        </a:solidFill>
        <a:ln w="9525" cap="flat" cmpd="sng" algn="ctr">
          <a:solidFill>
            <a:srgbClr val="00B0F0"/>
          </a:solidFill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  <a:reflection blurRad="6350" stA="50000" endA="300" endPos="90000" dist="50800" dir="5400000" sy="-100000" algn="bl" rotWithShape="0"/>
        </a:effectLst>
      </xdr:spPr>
      <xdr:txBody>
        <a:bodyPr vertOverflow="clip" wrap="square" lIns="0" tIns="0" rIns="0" bIns="0" rtlCol="0" anchor="ctr" upright="1"/>
        <a:lstStyle/>
        <a:p>
          <a:pPr algn="ctr"/>
          <a:fld id="{B5123548-12F7-4FC3-83BC-0000EDFB873A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  <a:cs typeface="宋体" panose="02010600030101010101" pitchFamily="7" charset="-122"/>
              <a:sym typeface="宋体" panose="02010600030101010101" pitchFamily="7" charset="-122"/>
            </a:rPr>
            <a:pPr algn="ctr"/>
            <a:t>免费版</a:t>
          </a:fld>
          <a:endParaRPr lang="zh-CN" altLang="en-US" sz="900">
            <a:solidFill>
              <a:srgbClr val="FFFF00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 editAs="oneCell">
    <xdr:from>
      <xdr:col>8</xdr:col>
      <xdr:colOff>142875</xdr:colOff>
      <xdr:row>17</xdr:row>
      <xdr:rowOff>47625</xdr:rowOff>
    </xdr:from>
    <xdr:to>
      <xdr:col>8</xdr:col>
      <xdr:colOff>295275</xdr:colOff>
      <xdr:row>17</xdr:row>
      <xdr:rowOff>200025</xdr:rowOff>
    </xdr:to>
    <xdr:pic>
      <xdr:nvPicPr>
        <xdr:cNvPr id="374430" name="图片 26" descr="common_1_verify_icon.png">
          <a:hlinkClick xmlns:r="http://schemas.openxmlformats.org/officeDocument/2006/relationships" r:id="rId16" tooltip="友情打赏，欢迎您为新大榭助力！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3000375" y="3629025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142875</xdr:colOff>
      <xdr:row>16</xdr:row>
      <xdr:rowOff>28575</xdr:rowOff>
    </xdr:from>
    <xdr:to>
      <xdr:col>8</xdr:col>
      <xdr:colOff>304800</xdr:colOff>
      <xdr:row>16</xdr:row>
      <xdr:rowOff>190500</xdr:rowOff>
    </xdr:to>
    <xdr:pic>
      <xdr:nvPicPr>
        <xdr:cNvPr id="374431" name="图片 35" descr="普通群.png">
          <a:hlinkClick xmlns:r="http://schemas.openxmlformats.org/officeDocument/2006/relationships" r:id="rId28" tooltip="欢迎加入新大榭办公软件分享群 如该链接失效请手工添加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3000375" y="33813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30</xdr:row>
      <xdr:rowOff>57150</xdr:rowOff>
    </xdr:from>
    <xdr:to>
      <xdr:col>2</xdr:col>
      <xdr:colOff>180975</xdr:colOff>
      <xdr:row>30</xdr:row>
      <xdr:rowOff>180975</xdr:rowOff>
    </xdr:to>
    <xdr:pic>
      <xdr:nvPicPr>
        <xdr:cNvPr id="374432" name="图片 10" descr="tubiao10.gif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80975" y="6543675"/>
          <a:ext cx="114300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9525</xdr:colOff>
      <xdr:row>3</xdr:row>
      <xdr:rowOff>19050</xdr:rowOff>
    </xdr:from>
    <xdr:to>
      <xdr:col>3</xdr:col>
      <xdr:colOff>0</xdr:colOff>
      <xdr:row>4</xdr:row>
      <xdr:rowOff>0</xdr:rowOff>
    </xdr:to>
    <xdr:sp macro="" textlink="$C$4">
      <xdr:nvSpPr>
        <xdr:cNvPr id="40" name="矩形 558"/>
        <xdr:cNvSpPr/>
      </xdr:nvSpPr>
      <xdr:spPr>
        <a:xfrm>
          <a:off x="123825" y="466725"/>
          <a:ext cx="657225" cy="20955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F2EC7E0E-9435-4D4C-BC82-F5C067B9DA2D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软件编号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4</xdr:row>
      <xdr:rowOff>19050</xdr:rowOff>
    </xdr:from>
    <xdr:to>
      <xdr:col>3</xdr:col>
      <xdr:colOff>0</xdr:colOff>
      <xdr:row>5</xdr:row>
      <xdr:rowOff>0</xdr:rowOff>
    </xdr:to>
    <xdr:sp macro="" textlink="$C$5">
      <xdr:nvSpPr>
        <xdr:cNvPr id="41" name="矩形 559"/>
        <xdr:cNvSpPr/>
      </xdr:nvSpPr>
      <xdr:spPr>
        <a:xfrm>
          <a:off x="123825" y="695325"/>
          <a:ext cx="657225" cy="20955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0170457C-9424-4190-AC43-882C0C0BEEC0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软件名称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5</xdr:row>
      <xdr:rowOff>19050</xdr:rowOff>
    </xdr:from>
    <xdr:to>
      <xdr:col>3</xdr:col>
      <xdr:colOff>0</xdr:colOff>
      <xdr:row>6</xdr:row>
      <xdr:rowOff>0</xdr:rowOff>
    </xdr:to>
    <xdr:sp macro="" textlink="$C$6">
      <xdr:nvSpPr>
        <xdr:cNvPr id="42" name="矩形 560"/>
        <xdr:cNvSpPr/>
      </xdr:nvSpPr>
      <xdr:spPr>
        <a:xfrm>
          <a:off x="123825" y="923925"/>
          <a:ext cx="657225" cy="20955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B7D1AEDF-9768-45C7-93AD-FC14D75B7C95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当前版本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6</xdr:row>
      <xdr:rowOff>19050</xdr:rowOff>
    </xdr:from>
    <xdr:to>
      <xdr:col>3</xdr:col>
      <xdr:colOff>0</xdr:colOff>
      <xdr:row>7</xdr:row>
      <xdr:rowOff>0</xdr:rowOff>
    </xdr:to>
    <xdr:sp macro="" textlink="$C$7">
      <xdr:nvSpPr>
        <xdr:cNvPr id="43" name="矩形 561"/>
        <xdr:cNvSpPr/>
      </xdr:nvSpPr>
      <xdr:spPr>
        <a:xfrm>
          <a:off x="123825" y="1152525"/>
          <a:ext cx="657225" cy="20955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37F1E63D-55D0-423B-8363-162034066686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最新版本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10</xdr:row>
      <xdr:rowOff>19050</xdr:rowOff>
    </xdr:from>
    <xdr:to>
      <xdr:col>3</xdr:col>
      <xdr:colOff>0</xdr:colOff>
      <xdr:row>10</xdr:row>
      <xdr:rowOff>227850</xdr:rowOff>
    </xdr:to>
    <xdr:sp macro="" textlink="$C$11">
      <xdr:nvSpPr>
        <xdr:cNvPr id="44" name="矩形 562"/>
        <xdr:cNvSpPr/>
      </xdr:nvSpPr>
      <xdr:spPr>
        <a:xfrm>
          <a:off x="123825" y="19907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6D6C395E-6F2C-47C5-8CFD-9D0EDC705B93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版权声明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11</xdr:row>
      <xdr:rowOff>19050</xdr:rowOff>
    </xdr:from>
    <xdr:to>
      <xdr:col>3</xdr:col>
      <xdr:colOff>0</xdr:colOff>
      <xdr:row>11</xdr:row>
      <xdr:rowOff>227850</xdr:rowOff>
    </xdr:to>
    <xdr:sp macro="" textlink="$C$12">
      <xdr:nvSpPr>
        <xdr:cNvPr id="45" name="矩形 563"/>
        <xdr:cNvSpPr/>
      </xdr:nvSpPr>
      <xdr:spPr>
        <a:xfrm>
          <a:off x="123825" y="22193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4A28CD95-9C07-4811-ACB0-FD952B207511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开发团队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12</xdr:row>
      <xdr:rowOff>19050</xdr:rowOff>
    </xdr:from>
    <xdr:to>
      <xdr:col>3</xdr:col>
      <xdr:colOff>0</xdr:colOff>
      <xdr:row>12</xdr:row>
      <xdr:rowOff>227850</xdr:rowOff>
    </xdr:to>
    <xdr:sp macro="" textlink="$C$13">
      <xdr:nvSpPr>
        <xdr:cNvPr id="46" name="矩形 564"/>
        <xdr:cNvSpPr/>
      </xdr:nvSpPr>
      <xdr:spPr>
        <a:xfrm>
          <a:off x="123825" y="24479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EA8EFB11-F268-4DB9-826F-51458D514281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官方首页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14</xdr:row>
      <xdr:rowOff>19050</xdr:rowOff>
    </xdr:from>
    <xdr:to>
      <xdr:col>3</xdr:col>
      <xdr:colOff>0</xdr:colOff>
      <xdr:row>14</xdr:row>
      <xdr:rowOff>227850</xdr:rowOff>
    </xdr:to>
    <xdr:sp macro="" textlink="$C$15">
      <xdr:nvSpPr>
        <xdr:cNvPr id="47" name="矩形 565"/>
        <xdr:cNvSpPr/>
      </xdr:nvSpPr>
      <xdr:spPr>
        <a:xfrm>
          <a:off x="123825" y="26765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41107DC9-F2EC-4FCB-A8AB-0D242BBD5322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公众微信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15</xdr:row>
      <xdr:rowOff>19050</xdr:rowOff>
    </xdr:from>
    <xdr:to>
      <xdr:col>3</xdr:col>
      <xdr:colOff>0</xdr:colOff>
      <xdr:row>15</xdr:row>
      <xdr:rowOff>227850</xdr:rowOff>
    </xdr:to>
    <xdr:sp macro="" textlink="$C$16">
      <xdr:nvSpPr>
        <xdr:cNvPr id="48" name="矩形 566"/>
        <xdr:cNvSpPr/>
      </xdr:nvSpPr>
      <xdr:spPr>
        <a:xfrm>
          <a:off x="123825" y="29051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0E60B424-D9BF-490E-BD70-72F953A01E4D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官方抖音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16</xdr:row>
      <xdr:rowOff>19050</xdr:rowOff>
    </xdr:from>
    <xdr:to>
      <xdr:col>3</xdr:col>
      <xdr:colOff>0</xdr:colOff>
      <xdr:row>16</xdr:row>
      <xdr:rowOff>227850</xdr:rowOff>
    </xdr:to>
    <xdr:sp macro="" textlink="$C$17">
      <xdr:nvSpPr>
        <xdr:cNvPr id="49" name="矩形 567"/>
        <xdr:cNvSpPr/>
      </xdr:nvSpPr>
      <xdr:spPr>
        <a:xfrm>
          <a:off x="123825" y="31337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DC80CD38-975C-4591-BA7C-BC2F1D35D0CC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官方群号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17</xdr:row>
      <xdr:rowOff>19050</xdr:rowOff>
    </xdr:from>
    <xdr:to>
      <xdr:col>3</xdr:col>
      <xdr:colOff>0</xdr:colOff>
      <xdr:row>17</xdr:row>
      <xdr:rowOff>227850</xdr:rowOff>
    </xdr:to>
    <xdr:sp macro="" textlink="$C$18">
      <xdr:nvSpPr>
        <xdr:cNvPr id="50" name="矩形 568"/>
        <xdr:cNvSpPr/>
      </xdr:nvSpPr>
      <xdr:spPr>
        <a:xfrm>
          <a:off x="123825" y="33623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CA34595D-EE0E-4B81-B88F-E1C675E32B97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原创作者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18</xdr:row>
      <xdr:rowOff>19050</xdr:rowOff>
    </xdr:from>
    <xdr:to>
      <xdr:col>3</xdr:col>
      <xdr:colOff>0</xdr:colOff>
      <xdr:row>18</xdr:row>
      <xdr:rowOff>227850</xdr:rowOff>
    </xdr:to>
    <xdr:sp macro="" textlink="$C$19">
      <xdr:nvSpPr>
        <xdr:cNvPr id="51" name="矩形 569"/>
        <xdr:cNvSpPr/>
      </xdr:nvSpPr>
      <xdr:spPr>
        <a:xfrm>
          <a:off x="123825" y="35909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14E15CF6-99AD-4718-BA9C-5BACC1F773F6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官方邮箱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19</xdr:row>
      <xdr:rowOff>19050</xdr:rowOff>
    </xdr:from>
    <xdr:to>
      <xdr:col>3</xdr:col>
      <xdr:colOff>0</xdr:colOff>
      <xdr:row>19</xdr:row>
      <xdr:rowOff>227850</xdr:rowOff>
    </xdr:to>
    <xdr:sp macro="" textlink="$C$20">
      <xdr:nvSpPr>
        <xdr:cNvPr id="52" name="矩形 570"/>
        <xdr:cNvSpPr/>
      </xdr:nvSpPr>
      <xdr:spPr>
        <a:xfrm>
          <a:off x="123825" y="38195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9FDAB29A-1CDC-4B64-9760-1A083A802BF3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销售热线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20</xdr:row>
      <xdr:rowOff>19050</xdr:rowOff>
    </xdr:from>
    <xdr:to>
      <xdr:col>3</xdr:col>
      <xdr:colOff>0</xdr:colOff>
      <xdr:row>20</xdr:row>
      <xdr:rowOff>227850</xdr:rowOff>
    </xdr:to>
    <xdr:sp macro="" textlink="$C$21">
      <xdr:nvSpPr>
        <xdr:cNvPr id="53" name="矩形 571"/>
        <xdr:cNvSpPr/>
      </xdr:nvSpPr>
      <xdr:spPr>
        <a:xfrm>
          <a:off x="123825" y="40481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BDCA8427-8041-465B-AE71-E2196C29640D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微信咨询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21</xdr:row>
      <xdr:rowOff>19050</xdr:rowOff>
    </xdr:from>
    <xdr:to>
      <xdr:col>3</xdr:col>
      <xdr:colOff>0</xdr:colOff>
      <xdr:row>21</xdr:row>
      <xdr:rowOff>227850</xdr:rowOff>
    </xdr:to>
    <xdr:sp macro="" textlink="$C$22">
      <xdr:nvSpPr>
        <xdr:cNvPr id="54" name="矩形 572"/>
        <xdr:cNvSpPr/>
      </xdr:nvSpPr>
      <xdr:spPr>
        <a:xfrm>
          <a:off x="123825" y="427672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7CF4831D-E434-42C1-B24A-0AF887A257AA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在线咨询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 editAs="oneCell">
    <xdr:from>
      <xdr:col>8</xdr:col>
      <xdr:colOff>142875</xdr:colOff>
      <xdr:row>20</xdr:row>
      <xdr:rowOff>38100</xdr:rowOff>
    </xdr:from>
    <xdr:to>
      <xdr:col>8</xdr:col>
      <xdr:colOff>314325</xdr:colOff>
      <xdr:row>20</xdr:row>
      <xdr:rowOff>209550</xdr:rowOff>
    </xdr:to>
    <xdr:pic>
      <xdr:nvPicPr>
        <xdr:cNvPr id="374448" name="图片 38" descr="0.gif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3000375" y="4305300"/>
          <a:ext cx="1714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9525</xdr:colOff>
      <xdr:row>24</xdr:row>
      <xdr:rowOff>19050</xdr:rowOff>
    </xdr:from>
    <xdr:to>
      <xdr:col>3</xdr:col>
      <xdr:colOff>0</xdr:colOff>
      <xdr:row>24</xdr:row>
      <xdr:rowOff>227850</xdr:rowOff>
    </xdr:to>
    <xdr:sp macro="" textlink="$C$25">
      <xdr:nvSpPr>
        <xdr:cNvPr id="56" name="矩形 574"/>
        <xdr:cNvSpPr/>
      </xdr:nvSpPr>
      <xdr:spPr>
        <a:xfrm>
          <a:off x="123825" y="4895850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BAA3A211-1771-4C34-AEDA-94DFD7413913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服务期限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25</xdr:row>
      <xdr:rowOff>19050</xdr:rowOff>
    </xdr:from>
    <xdr:to>
      <xdr:col>3</xdr:col>
      <xdr:colOff>0</xdr:colOff>
      <xdr:row>25</xdr:row>
      <xdr:rowOff>227850</xdr:rowOff>
    </xdr:to>
    <xdr:sp macro="" textlink="$C$26">
      <xdr:nvSpPr>
        <xdr:cNvPr id="57" name="矩形 575"/>
        <xdr:cNvSpPr/>
      </xdr:nvSpPr>
      <xdr:spPr>
        <a:xfrm>
          <a:off x="123825" y="5124450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9E13D59A-2CE6-494D-B9C1-15903AF943EF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用户授权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26</xdr:row>
      <xdr:rowOff>19050</xdr:rowOff>
    </xdr:from>
    <xdr:to>
      <xdr:col>3</xdr:col>
      <xdr:colOff>0</xdr:colOff>
      <xdr:row>26</xdr:row>
      <xdr:rowOff>227850</xdr:rowOff>
    </xdr:to>
    <xdr:sp macro="" textlink="$C$27">
      <xdr:nvSpPr>
        <xdr:cNvPr id="58" name="矩形 576"/>
        <xdr:cNvSpPr/>
      </xdr:nvSpPr>
      <xdr:spPr>
        <a:xfrm>
          <a:off x="123825" y="5353050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6F015451-F821-4B58-A843-1A47CC1F3811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注册单位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27</xdr:row>
      <xdr:rowOff>19050</xdr:rowOff>
    </xdr:from>
    <xdr:to>
      <xdr:col>3</xdr:col>
      <xdr:colOff>0</xdr:colOff>
      <xdr:row>27</xdr:row>
      <xdr:rowOff>227850</xdr:rowOff>
    </xdr:to>
    <xdr:sp macro="" textlink="$C$28">
      <xdr:nvSpPr>
        <xdr:cNvPr id="59" name="矩形 577"/>
        <xdr:cNvSpPr/>
      </xdr:nvSpPr>
      <xdr:spPr>
        <a:xfrm>
          <a:off x="123825" y="5581650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9429770F-B2C4-408F-AF03-1D0C59BC00C9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临时授权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29</xdr:row>
      <xdr:rowOff>19050</xdr:rowOff>
    </xdr:from>
    <xdr:to>
      <xdr:col>3</xdr:col>
      <xdr:colOff>0</xdr:colOff>
      <xdr:row>29</xdr:row>
      <xdr:rowOff>227850</xdr:rowOff>
    </xdr:to>
    <xdr:sp macro="" textlink="$C$30">
      <xdr:nvSpPr>
        <xdr:cNvPr id="60" name="矩形 578"/>
        <xdr:cNvSpPr/>
      </xdr:nvSpPr>
      <xdr:spPr>
        <a:xfrm>
          <a:off x="123825" y="5810250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A9B87EB0-0D14-4C86-B5BE-E84765CC8ED7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核算期间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 editAs="oneCell">
    <xdr:from>
      <xdr:col>8</xdr:col>
      <xdr:colOff>133350</xdr:colOff>
      <xdr:row>14</xdr:row>
      <xdr:rowOff>38100</xdr:rowOff>
    </xdr:from>
    <xdr:to>
      <xdr:col>8</xdr:col>
      <xdr:colOff>314325</xdr:colOff>
      <xdr:row>14</xdr:row>
      <xdr:rowOff>209550</xdr:rowOff>
    </xdr:to>
    <xdr:pic>
      <xdr:nvPicPr>
        <xdr:cNvPr id="374454" name="图片 170">
          <a:hlinkClick xmlns:r="http://schemas.openxmlformats.org/officeDocument/2006/relationships" r:id="rId31" tooltip="欢迎访问新大榭软件管家（仿微信版）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2990850" y="2933700"/>
          <a:ext cx="1809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142875</xdr:colOff>
      <xdr:row>15</xdr:row>
      <xdr:rowOff>38100</xdr:rowOff>
    </xdr:from>
    <xdr:to>
      <xdr:col>8</xdr:col>
      <xdr:colOff>295275</xdr:colOff>
      <xdr:row>15</xdr:row>
      <xdr:rowOff>190500</xdr:rowOff>
    </xdr:to>
    <xdr:pic>
      <xdr:nvPicPr>
        <xdr:cNvPr id="374455" name="图片 61" descr="抖音修正版.png">
          <a:hlinkClick xmlns:r="http://schemas.openxmlformats.org/officeDocument/2006/relationships" r:id="rId33" tooltip="2022年新大榭传媒正式入驻抖音平台"/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3000375" y="31623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295275</xdr:colOff>
      <xdr:row>3</xdr:row>
      <xdr:rowOff>39982</xdr:rowOff>
    </xdr:from>
    <xdr:ext cx="419100" cy="160043"/>
    <xdr:sp macro="[0]!ThisWorkbook.update1234" textlink="$AD$6">
      <xdr:nvSpPr>
        <xdr:cNvPr id="63" name="矩形 9"/>
        <xdr:cNvSpPr/>
      </xdr:nvSpPr>
      <xdr:spPr>
        <a:xfrm>
          <a:off x="2486025" y="497182"/>
          <a:ext cx="419100" cy="160043"/>
        </a:xfrm>
        <a:prstGeom prst="rect">
          <a:avLst/>
        </a:prstGeom>
        <a:solidFill>
          <a:srgbClr val="FFFFCC"/>
        </a:solidFill>
        <a:ln w="3175" cap="flat" cmpd="sng" algn="ctr">
          <a:solidFill>
            <a:schemeClr val="bg1">
              <a:lumMod val="5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sx="1000" sy="1000" rotWithShape="0">
            <a:schemeClr val="bg1"/>
          </a:outerShdw>
        </a:effectLst>
      </xdr:spPr>
      <xdr:txBody>
        <a:bodyPr vertOverflow="clip" wrap="square" lIns="0" tIns="0" rIns="0" bIns="0" rtlCol="0" anchor="ctr" upright="1">
          <a:noAutofit/>
        </a:bodyPr>
        <a:lstStyle/>
        <a:p>
          <a:pPr algn="ctr"/>
          <a:fld id="{90A31AD8-8457-48AB-AC7D-6C7935C42E67}" type="TxLink">
            <a:rPr lang="en-US" altLang="en-US" sz="900" b="0" i="0" u="none" strike="noStrike">
              <a:solidFill>
                <a:srgbClr val="008000"/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待查询</a:t>
          </a:fld>
          <a:endParaRPr lang="zh-CN" altLang="en-US" sz="900">
            <a:solidFill>
              <a:srgbClr val="008000"/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/>
  </xdr:oneCellAnchor>
  <xdr:twoCellAnchor editAs="oneCell">
    <xdr:from>
      <xdr:col>8</xdr:col>
      <xdr:colOff>161925</xdr:colOff>
      <xdr:row>13</xdr:row>
      <xdr:rowOff>9525</xdr:rowOff>
    </xdr:from>
    <xdr:to>
      <xdr:col>8</xdr:col>
      <xdr:colOff>314325</xdr:colOff>
      <xdr:row>13</xdr:row>
      <xdr:rowOff>209550</xdr:rowOff>
    </xdr:to>
    <xdr:pic>
      <xdr:nvPicPr>
        <xdr:cNvPr id="374457" name="图片 36" descr="sucaiwcom24730000sj.gif">
          <a:hlinkClick xmlns:r="http://schemas.openxmlformats.org/officeDocument/2006/relationships" r:id="rId35" tooltip="欢迎访问新大榭 Web 实验室（让我们一起探索网络黑科技！）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19425" y="2676525"/>
          <a:ext cx="1524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9525</xdr:colOff>
      <xdr:row>13</xdr:row>
      <xdr:rowOff>19050</xdr:rowOff>
    </xdr:from>
    <xdr:to>
      <xdr:col>3</xdr:col>
      <xdr:colOff>0</xdr:colOff>
      <xdr:row>13</xdr:row>
      <xdr:rowOff>227850</xdr:rowOff>
    </xdr:to>
    <xdr:sp macro="" textlink="$C$14">
      <xdr:nvSpPr>
        <xdr:cNvPr id="67" name="矩形 564"/>
        <xdr:cNvSpPr/>
      </xdr:nvSpPr>
      <xdr:spPr>
        <a:xfrm>
          <a:off x="123825" y="2457450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AC4F555B-39BB-49F5-B228-F44BC71532BD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孵化平台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2</xdr:col>
      <xdr:colOff>9525</xdr:colOff>
      <xdr:row>28</xdr:row>
      <xdr:rowOff>19050</xdr:rowOff>
    </xdr:from>
    <xdr:to>
      <xdr:col>3</xdr:col>
      <xdr:colOff>0</xdr:colOff>
      <xdr:row>28</xdr:row>
      <xdr:rowOff>227850</xdr:rowOff>
    </xdr:to>
    <xdr:sp macro="" textlink="$C$29">
      <xdr:nvSpPr>
        <xdr:cNvPr id="65" name="矩形 577"/>
        <xdr:cNvSpPr/>
      </xdr:nvSpPr>
      <xdr:spPr>
        <a:xfrm>
          <a:off x="123825" y="5819775"/>
          <a:ext cx="657225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6FA56442-103D-4B74-BE84-C5F73A6A8417}" type="TxLink">
            <a:rPr lang="zh-CN" altLang="en-US" sz="1000" b="1" i="0" u="none" strike="noStrike">
              <a:solidFill>
                <a:schemeClr val="tx1">
                  <a:lumMod val="75000"/>
                  <a:lumOff val="2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操作人员</a:t>
          </a:fld>
          <a:endParaRPr lang="zh-CN" altLang="en-US" sz="10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5</xdr:col>
      <xdr:colOff>9525</xdr:colOff>
      <xdr:row>28</xdr:row>
      <xdr:rowOff>9525</xdr:rowOff>
    </xdr:from>
    <xdr:to>
      <xdr:col>5</xdr:col>
      <xdr:colOff>524325</xdr:colOff>
      <xdr:row>28</xdr:row>
      <xdr:rowOff>218325</xdr:rowOff>
    </xdr:to>
    <xdr:sp macro="" textlink="$F$29">
      <xdr:nvSpPr>
        <xdr:cNvPr id="66" name="矩形 577"/>
        <xdr:cNvSpPr/>
      </xdr:nvSpPr>
      <xdr:spPr>
        <a:xfrm>
          <a:off x="1676400" y="6038850"/>
          <a:ext cx="514800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25CD7A6A-CD5A-4116-B362-5C462B570397}" type="TxLink">
            <a:rPr lang="zh-CN" altLang="en-US" sz="1100" b="1" i="0" u="none" strike="noStrike">
              <a:solidFill>
                <a:srgbClr val="5A5A5A"/>
              </a:solidFill>
              <a:latin typeface="微软雅黑"/>
              <a:ea typeface="微软雅黑"/>
              <a:cs typeface="宋体" panose="02010600030101010101" pitchFamily="7" charset="-122"/>
              <a:sym typeface="宋体" panose="02010600030101010101" pitchFamily="7" charset="-122"/>
            </a:rPr>
            <a:pPr algn="ctr"/>
            <a:t>部门</a:t>
          </a:fld>
          <a:endParaRPr lang="zh-CN" altLang="en-US" sz="1100" b="1">
            <a:solidFill>
              <a:schemeClr val="tx1">
                <a:lumMod val="75000"/>
                <a:lumOff val="2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5</xdr:col>
      <xdr:colOff>9525</xdr:colOff>
      <xdr:row>29</xdr:row>
      <xdr:rowOff>9525</xdr:rowOff>
    </xdr:from>
    <xdr:to>
      <xdr:col>5</xdr:col>
      <xdr:colOff>524325</xdr:colOff>
      <xdr:row>29</xdr:row>
      <xdr:rowOff>218325</xdr:rowOff>
    </xdr:to>
    <xdr:sp macro="" textlink="$F$30">
      <xdr:nvSpPr>
        <xdr:cNvPr id="68" name="矩形 577"/>
        <xdr:cNvSpPr/>
      </xdr:nvSpPr>
      <xdr:spPr>
        <a:xfrm>
          <a:off x="1676400" y="6267450"/>
          <a:ext cx="514800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8D4AD1D5-06F2-43F6-B858-01021AB6FE14}" type="TxLink">
            <a:rPr lang="zh-CN" altLang="en-US" sz="1100" b="1" i="0" u="none" strike="noStrike">
              <a:solidFill>
                <a:schemeClr val="tx1">
                  <a:lumMod val="65000"/>
                  <a:lumOff val="3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年</a:t>
          </a:fld>
          <a:endParaRPr lang="zh-CN" altLang="en-US" sz="1100" b="1">
            <a:solidFill>
              <a:schemeClr val="tx1">
                <a:lumMod val="65000"/>
                <a:lumOff val="3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  <xdr:twoCellAnchor>
    <xdr:from>
      <xdr:col>8</xdr:col>
      <xdr:colOff>9525</xdr:colOff>
      <xdr:row>29</xdr:row>
      <xdr:rowOff>9525</xdr:rowOff>
    </xdr:from>
    <xdr:to>
      <xdr:col>8</xdr:col>
      <xdr:colOff>419925</xdr:colOff>
      <xdr:row>29</xdr:row>
      <xdr:rowOff>218325</xdr:rowOff>
    </xdr:to>
    <xdr:sp macro="" textlink="$I$30">
      <xdr:nvSpPr>
        <xdr:cNvPr id="69" name="矩形 577"/>
        <xdr:cNvSpPr/>
      </xdr:nvSpPr>
      <xdr:spPr>
        <a:xfrm>
          <a:off x="2867025" y="6267450"/>
          <a:ext cx="410400" cy="208800"/>
        </a:xfrm>
        <a:prstGeom prst="rect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tint val="66000"/>
                <a:satMod val="160000"/>
              </a:schemeClr>
            </a:gs>
            <a:gs pos="50000">
              <a:schemeClr val="accent5">
                <a:lumMod val="60000"/>
                <a:lumOff val="40000"/>
                <a:tint val="44500"/>
                <a:satMod val="160000"/>
              </a:schemeClr>
            </a:gs>
            <a:gs pos="100000">
              <a:schemeClr val="accent5">
                <a:lumMod val="60000"/>
                <a:lumOff val="40000"/>
                <a:tint val="23500"/>
                <a:satMod val="160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0" tIns="0" rIns="0" bIns="0" rtlCol="0" anchor="ctr"/>
        <a:lstStyle/>
        <a:p>
          <a:pPr algn="ctr"/>
          <a:fld id="{C8C02173-DA18-46A9-9BD4-EFF8BB33D69D}" type="TxLink">
            <a:rPr lang="zh-CN" altLang="en-US" sz="1000" b="1" i="0" u="none" strike="noStrike">
              <a:solidFill>
                <a:schemeClr val="tx1">
                  <a:lumMod val="85000"/>
                  <a:lumOff val="15000"/>
                </a:schemeClr>
              </a:solidFill>
              <a:latin typeface="微软雅黑" pitchFamily="34" charset="-122"/>
              <a:ea typeface="微软雅黑" pitchFamily="34" charset="-122"/>
              <a:cs typeface="宋体" panose="02010600030101010101" pitchFamily="7" charset="-122"/>
              <a:sym typeface="宋体" panose="02010600030101010101" pitchFamily="7" charset="-122"/>
            </a:rPr>
            <a:pPr algn="ctr"/>
            <a:t>月</a:t>
          </a:fld>
          <a:endParaRPr lang="zh-CN" altLang="en-US" sz="1100" b="1">
            <a:solidFill>
              <a:schemeClr val="tx1">
                <a:lumMod val="85000"/>
                <a:lumOff val="15000"/>
              </a:schemeClr>
            </a:solidFill>
            <a:latin typeface="微软雅黑" pitchFamily="34" charset="-122"/>
            <a:ea typeface="微软雅黑" pitchFamily="34" charset="-122"/>
            <a:cs typeface="Calibri" panose="020F0502020204030204" charset="0"/>
            <a:sym typeface="Calibri" panose="020F050202020403020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2" name="矩形 3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4F932F74-F3F4-4D07-A9AC-256DE230CF80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3" name="矩形 29">
          <a:hlinkClick xmlns:r="http://schemas.openxmlformats.org/officeDocument/2006/relationships" r:id="rId2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C5194178-98E8-4D71-89B7-F557487B93BE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4" name="矩形 37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6FE458B5-4063-4429-BDD7-7C30EAFB39F6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5" name="矩形 63">
          <a:hlinkClick xmlns:r="http://schemas.openxmlformats.org/officeDocument/2006/relationships" r:id="rId2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A53D7132-797D-460A-B5B4-AB3C560DEE8C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2</xdr:col>
      <xdr:colOff>47625</xdr:colOff>
      <xdr:row>20</xdr:row>
      <xdr:rowOff>38100</xdr:rowOff>
    </xdr:from>
    <xdr:to>
      <xdr:col>2</xdr:col>
      <xdr:colOff>587625</xdr:colOff>
      <xdr:row>20</xdr:row>
      <xdr:rowOff>203700</xdr:rowOff>
    </xdr:to>
    <xdr:sp macro="" textlink="$AH$21">
      <xdr:nvSpPr>
        <xdr:cNvPr id="6" name="矩形 44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161925" y="4067175"/>
          <a:ext cx="540000" cy="1656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108FC09D-8159-4457-8451-85A7B6AEC958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2</xdr:col>
      <xdr:colOff>47625</xdr:colOff>
      <xdr:row>20</xdr:row>
      <xdr:rowOff>38100</xdr:rowOff>
    </xdr:from>
    <xdr:to>
      <xdr:col>2</xdr:col>
      <xdr:colOff>587625</xdr:colOff>
      <xdr:row>20</xdr:row>
      <xdr:rowOff>203700</xdr:rowOff>
    </xdr:to>
    <xdr:sp macro="" textlink="$AH$21">
      <xdr:nvSpPr>
        <xdr:cNvPr id="7" name="矩形 291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161925" y="4067175"/>
          <a:ext cx="540000" cy="1656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998120F2-2D27-4AA0-BAD0-244B79194039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8" name="矩形 3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1F8585B0-AF0C-433B-B035-76ABC52D86D9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9" name="矩形 29">
          <a:hlinkClick xmlns:r="http://schemas.openxmlformats.org/officeDocument/2006/relationships" r:id="rId2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5C561EFC-8255-4E55-A5C7-DAB53A358496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10" name="矩形 37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D09E3F81-E68A-4925-9D22-EA32365B6BB9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3</xdr:col>
      <xdr:colOff>47625</xdr:colOff>
      <xdr:row>23</xdr:row>
      <xdr:rowOff>37465</xdr:rowOff>
    </xdr:from>
    <xdr:to>
      <xdr:col>3</xdr:col>
      <xdr:colOff>57150</xdr:colOff>
      <xdr:row>23</xdr:row>
      <xdr:rowOff>199390</xdr:rowOff>
    </xdr:to>
    <xdr:sp macro="" textlink="$AH$24">
      <xdr:nvSpPr>
        <xdr:cNvPr id="11" name="矩形 63">
          <a:hlinkClick xmlns:r="http://schemas.openxmlformats.org/officeDocument/2006/relationships" r:id="rId2" tooltip="赞助新大榭旗下办公软件"/>
        </xdr:cNvPr>
        <xdr:cNvSpPr/>
      </xdr:nvSpPr>
      <xdr:spPr>
        <a:xfrm>
          <a:off x="828675" y="4580890"/>
          <a:ext cx="9525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7653FED6-C412-4814-B553-A27C98514885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2</xdr:col>
      <xdr:colOff>47625</xdr:colOff>
      <xdr:row>20</xdr:row>
      <xdr:rowOff>38100</xdr:rowOff>
    </xdr:from>
    <xdr:to>
      <xdr:col>2</xdr:col>
      <xdr:colOff>587625</xdr:colOff>
      <xdr:row>20</xdr:row>
      <xdr:rowOff>203700</xdr:rowOff>
    </xdr:to>
    <xdr:sp macro="" textlink="$AH$21">
      <xdr:nvSpPr>
        <xdr:cNvPr id="12" name="矩形 44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161925" y="4067175"/>
          <a:ext cx="540000" cy="1656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45DCE4A6-8AE0-4B1D-B902-383E2D1A332B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twoCellAnchor>
    <xdr:from>
      <xdr:col>2</xdr:col>
      <xdr:colOff>47625</xdr:colOff>
      <xdr:row>20</xdr:row>
      <xdr:rowOff>38100</xdr:rowOff>
    </xdr:from>
    <xdr:to>
      <xdr:col>2</xdr:col>
      <xdr:colOff>587625</xdr:colOff>
      <xdr:row>20</xdr:row>
      <xdr:rowOff>203700</xdr:rowOff>
    </xdr:to>
    <xdr:sp macro="" textlink="$AH$21">
      <xdr:nvSpPr>
        <xdr:cNvPr id="13" name="矩形 291">
          <a:hlinkClick xmlns:r="http://schemas.openxmlformats.org/officeDocument/2006/relationships" r:id="rId1" tooltip="赞助新大榭旗下办公软件"/>
        </xdr:cNvPr>
        <xdr:cNvSpPr/>
      </xdr:nvSpPr>
      <xdr:spPr>
        <a:xfrm>
          <a:off x="161925" y="4067175"/>
          <a:ext cx="540000" cy="1656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/>
        <a:lstStyle/>
        <a:p>
          <a:fld id="{04277489-9E98-4F74-AD08-8E88F0D8B20D}" type="TxLink">
            <a:rPr lang="zh-CN" altLang="en-US" sz="1000" b="0" i="0" u="none" strike="noStrike">
              <a:solidFill>
                <a:srgbClr val="FFFF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 fPrintsWithSheet="0"/>
  </xdr:twoCellAnchor>
  <xdr:oneCellAnchor>
    <xdr:from>
      <xdr:col>5</xdr:col>
      <xdr:colOff>438150</xdr:colOff>
      <xdr:row>5</xdr:row>
      <xdr:rowOff>209479</xdr:rowOff>
    </xdr:from>
    <xdr:ext cx="323850" cy="172227"/>
    <xdr:sp macro="" textlink="$AD$8">
      <xdr:nvSpPr>
        <xdr:cNvPr id="14" name="矩形 9"/>
        <xdr:cNvSpPr/>
      </xdr:nvSpPr>
      <xdr:spPr>
        <a:xfrm>
          <a:off x="2095500" y="1114354"/>
          <a:ext cx="323850" cy="172227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0" tIns="0" rIns="0" bIns="0" rtlCol="0" anchor="ctr" upright="1">
          <a:spAutoFit/>
        </a:bodyPr>
        <a:lstStyle/>
        <a:p>
          <a:fld id="{27D2415F-A9F2-4276-904C-75665ADBA2D3}" type="TxLink">
            <a:rPr lang="zh-CN" altLang="en-US" sz="1000" b="0" i="0" u="none" strike="noStrike">
              <a:solidFill>
                <a:srgbClr val="000000"/>
              </a:solidFill>
              <a:latin typeface="宋体"/>
              <a:ea typeface="宋体"/>
            </a:rPr>
            <a:pPr/>
            <a:t> </a:t>
          </a:fld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1" tint="4.9989318521683403E-2"/>
  </sheetPr>
  <dimension ref="A1:AL1044"/>
  <sheetViews>
    <sheetView showGridLines="0" showRowColHeaders="0" workbookViewId="0">
      <selection activeCell="A16" sqref="A16:IV16"/>
    </sheetView>
  </sheetViews>
  <sheetFormatPr defaultColWidth="0" defaultRowHeight="12.75" customHeight="1" zeroHeight="1"/>
  <cols>
    <col min="1" max="1" width="5.375" style="1" customWidth="1"/>
    <col min="2" max="2" width="8.375" style="1" customWidth="1"/>
    <col min="3" max="3" width="13.625" style="6" customWidth="1"/>
    <col min="4" max="4" width="10.5" style="1" customWidth="1"/>
    <col min="5" max="5" width="10.5" style="5" customWidth="1"/>
    <col min="6" max="6" width="20.625" style="1" customWidth="1"/>
    <col min="7" max="7" width="10.5" style="1" customWidth="1"/>
    <col min="8" max="8" width="10.5" style="5" customWidth="1"/>
    <col min="9" max="9" width="10.5" style="72" customWidth="1"/>
    <col min="10" max="10" width="22.25" style="5" customWidth="1"/>
    <col min="11" max="11" width="3.5" style="9" customWidth="1"/>
    <col min="12" max="19" width="10.5" style="5" hidden="1" customWidth="1"/>
    <col min="20" max="24" width="8" style="5" hidden="1" customWidth="1"/>
    <col min="25" max="26" width="7.375" style="5" hidden="1" customWidth="1"/>
    <col min="27" max="30" width="7.5" style="135" hidden="1" customWidth="1"/>
    <col min="31" max="31" width="7.375" style="135" hidden="1" customWidth="1"/>
    <col min="32" max="32" width="10" style="135" hidden="1" customWidth="1"/>
    <col min="33" max="34" width="7.5" style="135" hidden="1" customWidth="1"/>
    <col min="35" max="35" width="8" style="135" hidden="1" customWidth="1"/>
    <col min="36" max="36" width="7.5" style="135" hidden="1" customWidth="1"/>
    <col min="37" max="38" width="7.375" style="5" hidden="1" customWidth="1"/>
    <col min="39" max="16384" width="8" style="5" hidden="1"/>
  </cols>
  <sheetData>
    <row r="1" spans="1:36" s="68" customFormat="1" ht="30" customHeight="1">
      <c r="A1" s="124" t="s">
        <v>46</v>
      </c>
      <c r="B1" s="124" t="s">
        <v>47</v>
      </c>
      <c r="C1" s="124" t="s">
        <v>48</v>
      </c>
      <c r="D1" s="124" t="s">
        <v>49</v>
      </c>
      <c r="E1" s="124" t="s">
        <v>50</v>
      </c>
      <c r="F1" s="124" t="s">
        <v>51</v>
      </c>
      <c r="G1" s="124" t="s">
        <v>52</v>
      </c>
      <c r="H1" s="125" t="s">
        <v>85</v>
      </c>
      <c r="I1" s="126" t="s">
        <v>54</v>
      </c>
      <c r="J1" s="124" t="s">
        <v>55</v>
      </c>
      <c r="K1" s="9"/>
      <c r="V1" s="69"/>
      <c r="W1" s="69"/>
      <c r="X1" s="69"/>
      <c r="Y1" s="69"/>
      <c r="Z1" s="69"/>
      <c r="AA1" s="131" t="str">
        <f ca="1">IF(版权声明!AA3&lt;&gt;1,"未注册用户","")</f>
        <v/>
      </c>
      <c r="AB1" s="131"/>
      <c r="AC1" s="131"/>
      <c r="AD1" s="131"/>
      <c r="AE1" s="131"/>
      <c r="AF1" s="132"/>
      <c r="AG1" s="131"/>
      <c r="AH1" s="131"/>
      <c r="AI1" s="131"/>
      <c r="AJ1" s="131"/>
    </row>
    <row r="2" spans="1:36" s="71" customFormat="1" ht="30" customHeight="1">
      <c r="A2" s="121">
        <v>1</v>
      </c>
      <c r="B2" s="121">
        <f ca="1">YEAR(NOW())</f>
        <v>2023</v>
      </c>
      <c r="C2" s="123" t="s">
        <v>88</v>
      </c>
      <c r="D2" s="123" t="s">
        <v>87</v>
      </c>
      <c r="E2" s="123" t="s">
        <v>86</v>
      </c>
      <c r="F2" s="122" t="s">
        <v>56</v>
      </c>
      <c r="G2" s="121" t="s">
        <v>57</v>
      </c>
      <c r="H2" s="121">
        <v>999</v>
      </c>
      <c r="I2" s="127" t="s">
        <v>87</v>
      </c>
      <c r="J2" s="123" t="s">
        <v>81</v>
      </c>
      <c r="K2" s="70"/>
      <c r="AA2" s="131"/>
      <c r="AB2" s="131"/>
      <c r="AC2" s="131"/>
      <c r="AD2" s="131"/>
      <c r="AE2" s="131"/>
      <c r="AF2" s="132"/>
      <c r="AG2" s="131"/>
      <c r="AH2" s="131"/>
      <c r="AI2" s="131"/>
      <c r="AJ2" s="131"/>
    </row>
    <row r="3" spans="1:36" s="71" customFormat="1" ht="30" customHeight="1">
      <c r="A3" s="1"/>
      <c r="B3" s="1"/>
      <c r="C3" s="6"/>
      <c r="D3" s="1"/>
      <c r="E3" s="5"/>
      <c r="F3" s="1"/>
      <c r="G3" s="1"/>
      <c r="H3" s="5"/>
      <c r="I3" s="72"/>
      <c r="J3" s="5"/>
      <c r="K3" s="70"/>
      <c r="AA3" s="131"/>
      <c r="AB3" s="131"/>
      <c r="AC3" s="131"/>
      <c r="AD3" s="131"/>
      <c r="AE3" s="131"/>
      <c r="AF3" s="132"/>
      <c r="AG3" s="131"/>
      <c r="AH3" s="131"/>
      <c r="AI3" s="131"/>
      <c r="AJ3" s="131"/>
    </row>
    <row r="4" spans="1:36" s="71" customFormat="1" ht="30" customHeight="1">
      <c r="A4" s="1"/>
      <c r="B4" s="1"/>
      <c r="C4" s="6"/>
      <c r="D4" s="1"/>
      <c r="E4" s="5"/>
      <c r="F4" s="1"/>
      <c r="G4" s="1"/>
      <c r="H4" s="5"/>
      <c r="I4" s="72"/>
      <c r="J4" s="5"/>
      <c r="K4" s="70"/>
      <c r="AA4" s="131"/>
      <c r="AB4" s="131"/>
      <c r="AC4" s="131"/>
      <c r="AD4" s="131"/>
      <c r="AE4" s="131"/>
      <c r="AF4" s="132"/>
      <c r="AG4" s="131"/>
      <c r="AH4" s="131"/>
      <c r="AI4" s="131"/>
      <c r="AJ4" s="131"/>
    </row>
    <row r="5" spans="1:36" s="73" customFormat="1" ht="30" customHeight="1">
      <c r="A5" s="1"/>
      <c r="B5" s="1"/>
      <c r="C5" s="6"/>
      <c r="D5" s="1"/>
      <c r="E5" s="5"/>
      <c r="F5" s="1"/>
      <c r="G5" s="1"/>
      <c r="H5" s="5"/>
      <c r="I5" s="72"/>
      <c r="J5" s="5"/>
      <c r="K5" s="70"/>
      <c r="AA5" s="132"/>
      <c r="AB5" s="132"/>
      <c r="AC5" s="132"/>
      <c r="AD5" s="132"/>
      <c r="AE5" s="132"/>
      <c r="AF5" s="132"/>
      <c r="AG5" s="132"/>
      <c r="AH5" s="132"/>
      <c r="AI5" s="132"/>
      <c r="AJ5" s="132"/>
    </row>
    <row r="6" spans="1:36" s="73" customFormat="1" ht="30" customHeight="1">
      <c r="A6" s="1"/>
      <c r="B6" s="1"/>
      <c r="C6" s="6"/>
      <c r="D6" s="1"/>
      <c r="E6" s="5"/>
      <c r="F6" s="1"/>
      <c r="G6" s="1"/>
      <c r="H6" s="5"/>
      <c r="I6" s="72"/>
      <c r="J6" s="5"/>
      <c r="K6" s="70"/>
      <c r="AA6" s="132"/>
      <c r="AB6" s="132"/>
      <c r="AC6" s="132"/>
      <c r="AD6" s="132"/>
      <c r="AE6" s="132"/>
      <c r="AF6" s="132"/>
      <c r="AG6" s="132"/>
      <c r="AH6" s="132"/>
      <c r="AI6" s="132"/>
      <c r="AJ6" s="132"/>
    </row>
    <row r="7" spans="1:36" s="74" customFormat="1" ht="30" customHeight="1">
      <c r="A7" s="1"/>
      <c r="B7" s="1"/>
      <c r="C7" s="6"/>
      <c r="D7" s="1"/>
      <c r="E7" s="5"/>
      <c r="F7" s="1"/>
      <c r="G7" s="1"/>
      <c r="H7" s="5"/>
      <c r="I7" s="72"/>
      <c r="J7" s="5"/>
      <c r="K7" s="9"/>
      <c r="AA7" s="133"/>
      <c r="AB7" s="133"/>
      <c r="AC7" s="133"/>
      <c r="AD7" s="133"/>
      <c r="AE7" s="133"/>
      <c r="AF7" s="133"/>
      <c r="AG7" s="133"/>
      <c r="AH7" s="133"/>
      <c r="AI7" s="133"/>
      <c r="AJ7" s="133"/>
    </row>
    <row r="8" spans="1:36" s="74" customFormat="1" ht="30" customHeight="1">
      <c r="A8" s="1"/>
      <c r="B8" s="1"/>
      <c r="C8" s="6"/>
      <c r="D8" s="1"/>
      <c r="E8" s="5"/>
      <c r="F8" s="1"/>
      <c r="G8" s="1"/>
      <c r="H8" s="5"/>
      <c r="I8" s="72"/>
      <c r="J8" s="5"/>
      <c r="K8" s="9"/>
      <c r="AA8" s="133"/>
      <c r="AB8" s="133"/>
      <c r="AC8" s="133"/>
      <c r="AD8" s="133"/>
      <c r="AE8" s="133"/>
      <c r="AF8" s="133"/>
      <c r="AG8" s="133"/>
      <c r="AH8" s="133"/>
      <c r="AI8" s="133"/>
      <c r="AJ8" s="133"/>
    </row>
    <row r="9" spans="1:36" s="74" customFormat="1" ht="30" customHeight="1">
      <c r="A9" s="1"/>
      <c r="B9" s="1"/>
      <c r="C9" s="6"/>
      <c r="D9" s="1"/>
      <c r="E9" s="5"/>
      <c r="F9" s="1"/>
      <c r="G9" s="1"/>
      <c r="H9" s="5"/>
      <c r="I9" s="72"/>
      <c r="J9" s="5"/>
      <c r="K9" s="75"/>
      <c r="AA9" s="133"/>
      <c r="AB9" s="133"/>
      <c r="AC9" s="133"/>
      <c r="AD9" s="133"/>
      <c r="AE9" s="133"/>
      <c r="AF9" s="133"/>
      <c r="AG9" s="133"/>
      <c r="AH9" s="133"/>
      <c r="AI9" s="133"/>
      <c r="AJ9" s="133"/>
    </row>
    <row r="10" spans="1:36" s="74" customFormat="1" ht="30" customHeight="1">
      <c r="A10" s="1"/>
      <c r="B10" s="1"/>
      <c r="C10" s="6"/>
      <c r="D10" s="1"/>
      <c r="E10" s="5"/>
      <c r="F10" s="1"/>
      <c r="G10" s="1"/>
      <c r="H10" s="5"/>
      <c r="I10" s="72"/>
      <c r="J10" s="5"/>
      <c r="K10" s="9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</row>
    <row r="11" spans="1:36" s="74" customFormat="1" ht="30" customHeight="1">
      <c r="A11" s="1"/>
      <c r="B11" s="1"/>
      <c r="C11" s="6"/>
      <c r="D11" s="1"/>
      <c r="E11" s="5"/>
      <c r="F11" s="1"/>
      <c r="G11" s="1"/>
      <c r="H11" s="5"/>
      <c r="I11" s="72"/>
      <c r="J11" s="5"/>
      <c r="K11" s="9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</row>
    <row r="12" spans="1:36" s="76" customFormat="1" ht="30" customHeight="1">
      <c r="A12" s="1"/>
      <c r="B12" s="1"/>
      <c r="C12" s="6"/>
      <c r="D12" s="1"/>
      <c r="E12" s="5"/>
      <c r="F12" s="1"/>
      <c r="G12" s="1"/>
      <c r="H12" s="5"/>
      <c r="I12" s="72"/>
      <c r="J12" s="5"/>
      <c r="K12" s="9"/>
      <c r="AA12" s="134"/>
      <c r="AB12" s="134"/>
      <c r="AC12" s="134"/>
      <c r="AD12" s="134"/>
      <c r="AE12" s="134"/>
      <c r="AF12" s="134"/>
      <c r="AG12" s="134"/>
      <c r="AH12" s="134"/>
      <c r="AI12" s="134"/>
      <c r="AJ12" s="134"/>
    </row>
    <row r="13" spans="1:36" ht="31.5" customHeight="1"/>
    <row r="14" spans="1:36" ht="30" customHeight="1"/>
    <row r="15" spans="1:36" ht="30" customHeight="1"/>
    <row r="16" spans="1:36" ht="30" hidden="1" customHeight="1"/>
    <row r="17" ht="24" hidden="1" customHeight="1"/>
    <row r="18" ht="24" hidden="1" customHeight="1"/>
    <row r="19" ht="24" hidden="1" customHeight="1"/>
    <row r="20" ht="24" hidden="1" customHeight="1"/>
    <row r="21" ht="24" hidden="1" customHeight="1"/>
    <row r="22" ht="24" hidden="1" customHeight="1"/>
    <row r="23" ht="24" hidden="1" customHeight="1"/>
    <row r="24" ht="24" hidden="1" customHeight="1"/>
    <row r="25" ht="24" hidden="1" customHeight="1"/>
    <row r="26" ht="24" hidden="1" customHeight="1"/>
    <row r="27" ht="24" hidden="1" customHeight="1"/>
    <row r="28" ht="24" hidden="1" customHeight="1"/>
    <row r="29" ht="14.25" hidden="1"/>
    <row r="30" ht="14.25" hidden="1"/>
    <row r="31" ht="14.25" hidden="1"/>
    <row r="32" ht="14.25" hidden="1"/>
    <row r="33" ht="14.25" hidden="1"/>
    <row r="34" ht="14.25" hidden="1"/>
    <row r="35" ht="14.25" hidden="1"/>
    <row r="36" ht="14.25" hidden="1"/>
    <row r="37" ht="14.25" hidden="1"/>
    <row r="38" ht="14.25" hidden="1"/>
    <row r="39" ht="14.25" hidden="1"/>
    <row r="40" ht="14.25" hidden="1"/>
    <row r="41" ht="14.25" hidden="1"/>
    <row r="42" ht="14.25" hidden="1"/>
    <row r="43" ht="14.25" hidden="1"/>
    <row r="44" ht="14.25" hidden="1"/>
    <row r="45" ht="14.25" hidden="1"/>
    <row r="46" ht="14.25" hidden="1"/>
    <row r="47" ht="14.25" hidden="1"/>
    <row r="48" ht="14.25" hidden="1"/>
    <row r="49" ht="14.25" hidden="1"/>
    <row r="50" ht="14.25" hidden="1"/>
    <row r="51" ht="14.25" hidden="1"/>
    <row r="52" ht="14.25" hidden="1"/>
    <row r="53" ht="14.25" hidden="1"/>
    <row r="54" ht="14.25" hidden="1"/>
    <row r="55" ht="14.25" hidden="1"/>
    <row r="56" ht="14.25" hidden="1"/>
    <row r="57" ht="14.25" hidden="1"/>
    <row r="58" ht="14.25" hidden="1"/>
    <row r="59" ht="14.25" hidden="1"/>
    <row r="60" ht="14.25" hidden="1"/>
    <row r="61" ht="14.25" hidden="1"/>
    <row r="62" ht="14.25" hidden="1"/>
    <row r="63" ht="14.25" hidden="1"/>
    <row r="64" ht="14.25" hidden="1"/>
    <row r="65" ht="14.25" hidden="1"/>
    <row r="66" ht="14.25" hidden="1"/>
    <row r="67" ht="14.25" hidden="1"/>
    <row r="68" ht="14.25" hidden="1"/>
    <row r="69" ht="14.25" hidden="1"/>
    <row r="70" ht="14.25" hidden="1"/>
    <row r="71" ht="14.25" hidden="1"/>
    <row r="72" ht="14.25" hidden="1"/>
    <row r="73" ht="14.25" hidden="1"/>
    <row r="74" ht="14.25" hidden="1"/>
    <row r="75" ht="14.25" hidden="1"/>
    <row r="76" ht="14.25" hidden="1"/>
    <row r="77" ht="14.25" hidden="1"/>
    <row r="78" ht="14.25" hidden="1"/>
    <row r="79" ht="14.25" hidden="1"/>
    <row r="80" ht="14.25" hidden="1"/>
    <row r="81" ht="14.25" hidden="1"/>
    <row r="82" ht="14.25" hidden="1"/>
    <row r="83" ht="14.25" hidden="1"/>
    <row r="84" ht="14.25" hidden="1"/>
    <row r="85" ht="14.25" hidden="1"/>
    <row r="86" ht="14.25" hidden="1"/>
    <row r="87" ht="14.25" hidden="1"/>
    <row r="88" ht="14.25" hidden="1"/>
    <row r="89" ht="14.25" hidden="1"/>
    <row r="90" ht="14.25" hidden="1"/>
    <row r="91" ht="14.25" hidden="1"/>
    <row r="92" ht="14.25" hidden="1"/>
    <row r="93" ht="14.25" hidden="1"/>
    <row r="94" ht="14.25" hidden="1"/>
    <row r="95" ht="14.25" hidden="1"/>
    <row r="96" ht="14.25" hidden="1"/>
    <row r="97" ht="14.25" hidden="1"/>
    <row r="98" ht="14.25" hidden="1"/>
    <row r="99" ht="14.25" hidden="1"/>
    <row r="100" ht="14.25" hidden="1"/>
    <row r="101" ht="14.25" hidden="1"/>
    <row r="102" ht="14.25" hidden="1"/>
    <row r="103" ht="14.25" hidden="1"/>
    <row r="104" ht="14.25" hidden="1"/>
    <row r="105" ht="14.25" hidden="1"/>
    <row r="106" ht="14.25" hidden="1"/>
    <row r="107" ht="14.25" hidden="1"/>
    <row r="108" ht="14.25" hidden="1"/>
    <row r="109" ht="14.25" hidden="1"/>
    <row r="110" ht="14.25" hidden="1"/>
    <row r="111" ht="14.25" hidden="1"/>
    <row r="112" ht="14.25" hidden="1"/>
    <row r="113" ht="14.25" hidden="1"/>
    <row r="114" ht="14.25" hidden="1"/>
    <row r="115" ht="14.25" hidden="1"/>
    <row r="116" ht="14.25" hidden="1"/>
    <row r="117" ht="14.25" hidden="1"/>
    <row r="118" ht="14.25" hidden="1"/>
    <row r="119" ht="14.25" hidden="1"/>
    <row r="120" ht="14.25" hidden="1"/>
    <row r="121" ht="14.25" hidden="1"/>
    <row r="122" ht="14.25" hidden="1"/>
    <row r="123" ht="14.25" hidden="1"/>
    <row r="124" ht="14.25" hidden="1"/>
    <row r="125" ht="14.25" hidden="1"/>
    <row r="126" ht="14.25" hidden="1"/>
    <row r="127" ht="14.25" hidden="1"/>
    <row r="128" ht="14.25" hidden="1"/>
    <row r="129" ht="14.25" hidden="1"/>
    <row r="130" ht="14.25" hidden="1"/>
    <row r="131" ht="14.25" hidden="1"/>
    <row r="132" ht="14.25" hidden="1"/>
    <row r="133" ht="14.25" hidden="1"/>
    <row r="134" ht="14.25" hidden="1"/>
    <row r="135" ht="14.25" hidden="1"/>
    <row r="136" ht="14.25" hidden="1"/>
    <row r="137" ht="14.25" hidden="1"/>
    <row r="138" ht="14.25" hidden="1"/>
    <row r="139" ht="14.25" hidden="1"/>
    <row r="140" ht="14.25" hidden="1"/>
    <row r="141" ht="14.25" hidden="1"/>
    <row r="142" ht="14.25" hidden="1"/>
    <row r="143" ht="14.25" hidden="1"/>
    <row r="144" ht="14.25" hidden="1"/>
    <row r="145" ht="14.25" hidden="1"/>
    <row r="146" ht="14.25" hidden="1"/>
    <row r="147" ht="14.25" hidden="1"/>
    <row r="148" ht="14.25" hidden="1"/>
    <row r="149" ht="14.25" hidden="1"/>
    <row r="150" ht="14.25" hidden="1"/>
    <row r="151" ht="14.25" hidden="1"/>
    <row r="152" ht="14.25" hidden="1"/>
    <row r="153" ht="14.25" hidden="1"/>
    <row r="154" ht="14.25" hidden="1"/>
    <row r="155" ht="14.25" hidden="1"/>
    <row r="156" ht="14.25" hidden="1"/>
    <row r="157" ht="14.25" hidden="1"/>
    <row r="158" ht="14.25" hidden="1"/>
    <row r="159" ht="14.25" hidden="1"/>
    <row r="160" ht="14.25" hidden="1"/>
    <row r="161" ht="14.25" hidden="1"/>
    <row r="162" ht="14.25" hidden="1"/>
    <row r="163" ht="14.25" hidden="1"/>
    <row r="164" ht="14.25" hidden="1"/>
    <row r="165" ht="14.25" hidden="1"/>
    <row r="166" ht="14.25" hidden="1"/>
    <row r="167" ht="14.25" hidden="1"/>
    <row r="168" ht="14.25" hidden="1"/>
    <row r="169" ht="14.25" hidden="1"/>
    <row r="170" ht="14.25" hidden="1"/>
    <row r="171" ht="14.25" hidden="1"/>
    <row r="172" ht="14.25" hidden="1"/>
    <row r="173" ht="14.25" hidden="1"/>
    <row r="174" ht="14.25" hidden="1"/>
    <row r="175" ht="14.25" hidden="1"/>
    <row r="176" ht="14.25" hidden="1"/>
    <row r="177" ht="14.25" hidden="1"/>
    <row r="178" ht="14.25" hidden="1"/>
    <row r="179" ht="14.25" hidden="1"/>
    <row r="180" ht="14.25" hidden="1"/>
    <row r="181" ht="14.25" hidden="1"/>
    <row r="182" ht="14.25" hidden="1"/>
    <row r="183" ht="14.25" hidden="1"/>
    <row r="184" ht="14.25" hidden="1"/>
    <row r="185" ht="14.25" hidden="1"/>
    <row r="186" ht="14.25" hidden="1"/>
    <row r="187" ht="14.25" hidden="1"/>
    <row r="188" ht="14.25" hidden="1"/>
    <row r="189" ht="14.25" hidden="1"/>
    <row r="190" ht="14.25" hidden="1"/>
    <row r="191" ht="14.25" hidden="1"/>
    <row r="192" ht="14.25" hidden="1"/>
    <row r="193" ht="14.25" hidden="1"/>
    <row r="194" ht="14.25" hidden="1"/>
    <row r="195" ht="14.25" hidden="1"/>
    <row r="196" ht="14.25" hidden="1"/>
    <row r="197" ht="14.25" hidden="1"/>
    <row r="198" ht="14.25" hidden="1"/>
    <row r="199" ht="14.25" hidden="1"/>
    <row r="200" ht="14.25" hidden="1"/>
    <row r="201" ht="14.25" hidden="1"/>
    <row r="202" ht="14.25" hidden="1"/>
    <row r="203" ht="14.25" hidden="1"/>
    <row r="204" ht="14.25" hidden="1"/>
    <row r="205" ht="14.25" hidden="1"/>
    <row r="206" ht="14.25" hidden="1"/>
    <row r="207" ht="14.25" hidden="1"/>
    <row r="208" ht="14.25" hidden="1"/>
    <row r="209" ht="14.25" hidden="1"/>
    <row r="210" ht="14.25" hidden="1"/>
    <row r="211" ht="14.25" hidden="1"/>
    <row r="212" ht="14.25" hidden="1"/>
    <row r="213" ht="14.25" hidden="1"/>
    <row r="214" ht="14.25" hidden="1"/>
    <row r="215" ht="14.25" hidden="1"/>
    <row r="216" ht="14.25" hidden="1"/>
    <row r="217" ht="14.25" hidden="1"/>
    <row r="218" ht="14.25" hidden="1"/>
    <row r="219" ht="14.25" hidden="1"/>
    <row r="220" ht="14.25" hidden="1"/>
    <row r="221" ht="14.25" hidden="1"/>
    <row r="222" ht="14.25" hidden="1"/>
    <row r="223" ht="14.25" hidden="1"/>
    <row r="224" ht="14.25" hidden="1"/>
    <row r="225" ht="14.25" hidden="1"/>
    <row r="226" ht="14.25" hidden="1"/>
    <row r="227" ht="14.25" hidden="1"/>
    <row r="228" ht="14.25" hidden="1"/>
    <row r="229" ht="14.25" hidden="1"/>
    <row r="230" ht="14.25" hidden="1"/>
    <row r="231" ht="14.25" hidden="1"/>
    <row r="232" ht="14.25" hidden="1"/>
    <row r="233" ht="14.25" hidden="1"/>
    <row r="234" ht="14.25" hidden="1"/>
    <row r="235" ht="14.25" hidden="1"/>
    <row r="236" ht="14.25" hidden="1"/>
    <row r="237" ht="14.25" hidden="1"/>
    <row r="238" ht="14.25" hidden="1"/>
    <row r="239" ht="14.25" hidden="1"/>
    <row r="240" ht="14.25" hidden="1"/>
    <row r="241" ht="14.25" hidden="1"/>
    <row r="242" ht="14.25" hidden="1"/>
    <row r="243" ht="14.25" hidden="1"/>
    <row r="244" ht="14.25" hidden="1"/>
    <row r="245" ht="14.25" hidden="1"/>
    <row r="246" ht="14.25" hidden="1"/>
    <row r="247" ht="14.25" hidden="1"/>
    <row r="248" ht="14.25" hidden="1"/>
    <row r="249" ht="14.25" hidden="1"/>
    <row r="250" ht="14.25" hidden="1"/>
    <row r="251" ht="14.25" hidden="1"/>
    <row r="252" ht="14.25" hidden="1"/>
    <row r="253" ht="14.25" hidden="1"/>
    <row r="254" ht="14.25" hidden="1"/>
    <row r="255" ht="14.25" hidden="1"/>
    <row r="256" ht="14.25" hidden="1"/>
    <row r="257" ht="14.25" hidden="1"/>
    <row r="258" ht="14.25" hidden="1"/>
    <row r="259" ht="14.25" hidden="1"/>
    <row r="260" ht="14.25" hidden="1"/>
    <row r="261" ht="14.25" hidden="1"/>
    <row r="262" ht="14.25" hidden="1"/>
    <row r="263" ht="14.25" hidden="1"/>
    <row r="264" ht="14.25" hidden="1"/>
    <row r="265" ht="14.25" hidden="1"/>
    <row r="266" ht="14.25" hidden="1"/>
    <row r="267" ht="14.25" hidden="1"/>
    <row r="268" ht="14.25" hidden="1"/>
    <row r="269" ht="14.25" hidden="1"/>
    <row r="270" ht="14.25" hidden="1"/>
    <row r="271" ht="14.25" hidden="1"/>
    <row r="272" ht="14.25" hidden="1"/>
    <row r="273" ht="14.25" hidden="1"/>
    <row r="274" ht="14.25" hidden="1"/>
    <row r="275" ht="14.25" hidden="1"/>
    <row r="276" ht="14.25" hidden="1"/>
    <row r="277" ht="14.25" hidden="1"/>
    <row r="278" ht="14.25" hidden="1"/>
    <row r="279" ht="14.25" hidden="1"/>
    <row r="280" ht="14.25" hidden="1"/>
    <row r="281" ht="14.25" hidden="1"/>
    <row r="282" ht="14.25" hidden="1"/>
    <row r="283" ht="14.25" hidden="1"/>
    <row r="284" ht="14.25" hidden="1"/>
    <row r="285" ht="14.25" hidden="1"/>
    <row r="286" ht="14.25" hidden="1"/>
    <row r="287" ht="14.25" hidden="1"/>
    <row r="288" ht="14.25" hidden="1"/>
    <row r="289" ht="14.25" hidden="1"/>
    <row r="290" ht="14.25" hidden="1"/>
    <row r="291" ht="14.25" hidden="1"/>
    <row r="292" ht="14.25" hidden="1"/>
    <row r="293" ht="14.25" hidden="1"/>
    <row r="294" ht="14.25" hidden="1"/>
    <row r="295" ht="14.25" hidden="1"/>
    <row r="296" ht="14.25" hidden="1"/>
    <row r="297" ht="14.25" hidden="1"/>
    <row r="298" ht="14.25" hidden="1"/>
    <row r="299" ht="14.25" hidden="1"/>
    <row r="300" ht="14.25" hidden="1"/>
    <row r="301" ht="14.25" hidden="1"/>
    <row r="302" ht="14.25" hidden="1"/>
    <row r="303" ht="14.25" hidden="1"/>
    <row r="304" ht="14.25" hidden="1"/>
    <row r="305" ht="14.25" hidden="1"/>
    <row r="306" ht="14.25" hidden="1"/>
    <row r="307" ht="14.25" hidden="1"/>
    <row r="308" ht="14.25" hidden="1"/>
    <row r="309" ht="14.25" hidden="1"/>
    <row r="310" ht="14.25" hidden="1"/>
    <row r="311" ht="14.25" hidden="1"/>
    <row r="312" ht="14.25" hidden="1"/>
    <row r="313" ht="14.25" hidden="1"/>
    <row r="314" ht="14.25" hidden="1"/>
    <row r="315" ht="14.25" hidden="1"/>
    <row r="316" ht="14.25" hidden="1"/>
    <row r="317" ht="14.25" hidden="1"/>
    <row r="318" ht="14.25" hidden="1"/>
    <row r="319" ht="14.25" hidden="1"/>
    <row r="320" ht="14.25" hidden="1"/>
    <row r="321" ht="14.25" hidden="1"/>
    <row r="322" ht="14.25" hidden="1"/>
    <row r="323" ht="14.25" hidden="1"/>
    <row r="324" ht="14.25" hidden="1"/>
    <row r="325" ht="14.25" hidden="1"/>
    <row r="326" ht="14.25" hidden="1"/>
    <row r="327" ht="14.25" hidden="1"/>
    <row r="328" ht="14.25" hidden="1"/>
    <row r="329" ht="14.25" hidden="1"/>
    <row r="330" ht="14.25" hidden="1"/>
    <row r="331" ht="14.25" hidden="1"/>
    <row r="332" ht="14.25" hidden="1"/>
    <row r="333" ht="14.25" hidden="1"/>
    <row r="334" ht="14.25" hidden="1"/>
    <row r="335" ht="14.25" hidden="1"/>
    <row r="336" ht="14.25" hidden="1"/>
    <row r="337" ht="14.25" hidden="1"/>
    <row r="338" ht="14.25" hidden="1"/>
    <row r="339" ht="14.25" hidden="1"/>
    <row r="340" ht="14.25" hidden="1"/>
    <row r="341" ht="14.25" hidden="1"/>
    <row r="342" ht="14.25" hidden="1"/>
    <row r="343" ht="14.25" hidden="1"/>
    <row r="344" ht="14.25" hidden="1"/>
    <row r="345" ht="14.25" hidden="1"/>
    <row r="346" ht="14.25" hidden="1"/>
    <row r="347" ht="14.25" hidden="1"/>
    <row r="348" ht="14.25" hidden="1"/>
    <row r="349" ht="14.25" hidden="1"/>
    <row r="350" ht="14.25" hidden="1"/>
    <row r="351" ht="14.25" hidden="1"/>
    <row r="352" ht="14.25" hidden="1"/>
    <row r="353" ht="14.25" hidden="1"/>
    <row r="354" ht="14.25" hidden="1"/>
    <row r="355" ht="14.25" hidden="1"/>
    <row r="356" ht="14.25" hidden="1"/>
    <row r="357" ht="14.25" hidden="1"/>
    <row r="358" ht="14.25" hidden="1"/>
    <row r="359" ht="14.25" hidden="1"/>
    <row r="360" ht="14.25" hidden="1"/>
    <row r="361" ht="14.25" hidden="1"/>
    <row r="362" ht="14.25" hidden="1"/>
    <row r="363" ht="14.25" hidden="1"/>
    <row r="364" ht="14.25" hidden="1"/>
    <row r="365" ht="14.25" hidden="1"/>
    <row r="366" ht="14.25" hidden="1"/>
    <row r="367" ht="14.25" hidden="1"/>
    <row r="368" ht="14.25" hidden="1"/>
    <row r="369" ht="14.25" hidden="1"/>
    <row r="370" ht="14.25" hidden="1"/>
    <row r="371" ht="14.25" hidden="1"/>
    <row r="372" ht="14.25" hidden="1"/>
    <row r="373" ht="14.25" hidden="1"/>
    <row r="374" ht="14.25" hidden="1"/>
    <row r="375" ht="14.25" hidden="1"/>
    <row r="376" ht="14.25" hidden="1"/>
    <row r="377" ht="14.25" hidden="1"/>
    <row r="378" ht="14.25" hidden="1"/>
    <row r="379" ht="14.25" hidden="1"/>
    <row r="380" ht="14.25" hidden="1"/>
    <row r="381" ht="14.25" hidden="1"/>
    <row r="382" ht="14.25" hidden="1"/>
    <row r="383" ht="14.25" hidden="1"/>
    <row r="384" ht="14.25" hidden="1"/>
    <row r="385" ht="14.25" hidden="1"/>
    <row r="386" ht="14.25" hidden="1"/>
    <row r="387" ht="14.25" hidden="1"/>
    <row r="388" ht="14.25" hidden="1"/>
    <row r="389" ht="14.25" hidden="1"/>
    <row r="390" ht="14.25" hidden="1"/>
    <row r="391" ht="14.25" hidden="1"/>
    <row r="392" ht="14.25" hidden="1"/>
    <row r="393" ht="14.25" hidden="1"/>
    <row r="394" ht="14.25" hidden="1"/>
    <row r="395" ht="14.25" hidden="1"/>
    <row r="396" ht="14.25" hidden="1"/>
    <row r="397" ht="14.25" hidden="1"/>
    <row r="398" ht="14.25" hidden="1"/>
    <row r="399" ht="14.25" hidden="1"/>
    <row r="400" ht="14.25" hidden="1"/>
    <row r="401" ht="14.25" hidden="1"/>
    <row r="402" ht="14.25" hidden="1"/>
    <row r="403" ht="14.25" hidden="1"/>
    <row r="404" ht="14.25" hidden="1"/>
    <row r="405" ht="14.25" hidden="1"/>
    <row r="406" ht="14.25" hidden="1"/>
    <row r="407" ht="14.25" hidden="1"/>
    <row r="408" ht="14.25" hidden="1"/>
    <row r="409" ht="14.25" hidden="1"/>
    <row r="410" ht="14.25" hidden="1"/>
    <row r="411" ht="14.25" hidden="1"/>
    <row r="412" ht="14.25" hidden="1"/>
    <row r="413" ht="14.25" hidden="1"/>
    <row r="414" ht="14.25" hidden="1"/>
    <row r="415" ht="14.25" hidden="1"/>
    <row r="416" ht="14.25" hidden="1"/>
    <row r="417" ht="14.25" hidden="1"/>
    <row r="418" ht="14.25" hidden="1"/>
    <row r="419" ht="14.25" hidden="1"/>
    <row r="420" ht="14.25" hidden="1"/>
    <row r="421" ht="14.25" hidden="1"/>
    <row r="422" ht="14.25" hidden="1"/>
    <row r="423" ht="14.25" hidden="1"/>
    <row r="424" ht="14.25" hidden="1"/>
    <row r="425" ht="14.25" hidden="1"/>
    <row r="426" ht="14.25" hidden="1"/>
    <row r="427" ht="14.25" hidden="1"/>
    <row r="428" ht="14.25" hidden="1"/>
    <row r="429" ht="14.25" hidden="1"/>
    <row r="430" ht="14.25" hidden="1"/>
    <row r="431" ht="14.25" hidden="1"/>
    <row r="432" ht="14.25" hidden="1"/>
    <row r="433" ht="14.25" hidden="1"/>
    <row r="434" ht="14.25" hidden="1"/>
    <row r="435" ht="14.25" hidden="1"/>
    <row r="436" ht="14.25" hidden="1"/>
    <row r="437" ht="14.25" hidden="1"/>
    <row r="438" ht="14.25" hidden="1"/>
    <row r="439" ht="14.25" hidden="1"/>
    <row r="440" ht="14.25" hidden="1"/>
    <row r="441" ht="14.25" hidden="1"/>
    <row r="442" ht="14.25" hidden="1"/>
    <row r="443" ht="14.25" hidden="1"/>
    <row r="444" ht="14.25" hidden="1"/>
    <row r="445" ht="14.25" hidden="1"/>
    <row r="446" ht="14.25" hidden="1"/>
    <row r="447" ht="14.25" hidden="1"/>
    <row r="448" ht="14.25" hidden="1"/>
    <row r="449" ht="14.25" hidden="1"/>
    <row r="450" ht="14.25" hidden="1"/>
    <row r="451" ht="14.25" hidden="1"/>
    <row r="452" ht="14.25" hidden="1"/>
    <row r="453" ht="14.25" hidden="1"/>
    <row r="454" ht="14.25" hidden="1"/>
    <row r="455" ht="14.25" hidden="1"/>
    <row r="456" ht="14.25" hidden="1"/>
    <row r="457" ht="14.25" hidden="1"/>
    <row r="458" ht="14.25" hidden="1"/>
    <row r="459" ht="14.25" hidden="1"/>
    <row r="460" ht="14.25" hidden="1"/>
    <row r="461" ht="14.25" hidden="1"/>
    <row r="462" ht="14.25" hidden="1"/>
    <row r="463" ht="14.25" hidden="1"/>
    <row r="464" ht="14.25" hidden="1"/>
    <row r="465" ht="14.25" hidden="1"/>
    <row r="466" ht="14.25" hidden="1"/>
    <row r="467" ht="14.25" hidden="1"/>
    <row r="468" ht="14.25" hidden="1"/>
    <row r="469" ht="14.25" hidden="1"/>
    <row r="470" ht="14.25" hidden="1"/>
    <row r="471" ht="14.25" hidden="1"/>
    <row r="472" ht="14.25" hidden="1"/>
    <row r="473" ht="14.25" hidden="1"/>
    <row r="474" ht="14.25" hidden="1"/>
    <row r="475" ht="14.25" hidden="1"/>
    <row r="476" ht="14.25" hidden="1"/>
    <row r="477" ht="14.25" hidden="1"/>
    <row r="478" ht="14.25" hidden="1"/>
    <row r="479" ht="14.25" hidden="1"/>
    <row r="480" ht="14.25" hidden="1"/>
    <row r="481" ht="14.25" hidden="1"/>
    <row r="482" ht="14.25" hidden="1"/>
    <row r="483" ht="14.25" hidden="1"/>
    <row r="484" ht="14.25" hidden="1"/>
    <row r="485" ht="14.25" hidden="1"/>
    <row r="486" ht="14.25" hidden="1"/>
    <row r="487" ht="14.25" hidden="1"/>
    <row r="488" ht="14.25" hidden="1"/>
    <row r="489" ht="14.25" hidden="1"/>
    <row r="490" ht="14.25" hidden="1"/>
    <row r="491" ht="14.25" hidden="1"/>
    <row r="492" ht="14.25" hidden="1"/>
    <row r="493" ht="14.25" hidden="1"/>
    <row r="494" ht="14.25" hidden="1"/>
    <row r="495" ht="14.25" hidden="1"/>
    <row r="496" ht="14.25" hidden="1"/>
    <row r="497" ht="14.25" hidden="1"/>
    <row r="498" ht="14.25" hidden="1"/>
    <row r="499" ht="14.25" hidden="1"/>
    <row r="500" ht="14.25" hidden="1"/>
    <row r="501" ht="14.25" hidden="1"/>
    <row r="502" ht="14.25" hidden="1"/>
    <row r="503" ht="14.25" hidden="1"/>
    <row r="504" ht="14.25" hidden="1"/>
    <row r="505" ht="14.25" hidden="1"/>
    <row r="506" ht="14.25" hidden="1"/>
    <row r="507" ht="14.25" hidden="1"/>
    <row r="508" ht="14.25" hidden="1"/>
    <row r="509" ht="14.25" hidden="1"/>
    <row r="510" ht="14.25" hidden="1"/>
    <row r="511" ht="14.25" hidden="1"/>
    <row r="512" ht="14.25" hidden="1"/>
    <row r="513" ht="14.25" hidden="1"/>
    <row r="514" ht="14.25" hidden="1"/>
    <row r="515" ht="14.25" hidden="1"/>
    <row r="516" ht="14.25" hidden="1"/>
    <row r="517" ht="14.25" hidden="1"/>
    <row r="518" ht="14.25" hidden="1"/>
    <row r="519" ht="14.25" hidden="1"/>
    <row r="520" ht="14.25" hidden="1"/>
    <row r="521" ht="14.25" hidden="1"/>
    <row r="522" ht="14.25" hidden="1"/>
    <row r="523" ht="14.25" hidden="1"/>
    <row r="524" ht="14.25" hidden="1"/>
    <row r="525" ht="14.25" hidden="1"/>
    <row r="526" ht="14.25" hidden="1"/>
    <row r="527" ht="14.25" hidden="1"/>
    <row r="528" ht="14.25" hidden="1"/>
    <row r="529" ht="14.25" hidden="1"/>
    <row r="530" ht="14.25" hidden="1"/>
    <row r="531" ht="14.25" hidden="1"/>
    <row r="532" ht="14.25" hidden="1"/>
    <row r="533" ht="14.25" hidden="1"/>
    <row r="534" ht="14.25" hidden="1"/>
    <row r="535" ht="14.25" hidden="1"/>
    <row r="536" ht="14.25" hidden="1"/>
    <row r="537" ht="14.25" hidden="1"/>
    <row r="538" ht="14.25" hidden="1"/>
    <row r="539" ht="14.25" hidden="1"/>
    <row r="540" ht="14.25" hidden="1"/>
    <row r="541" ht="14.25" hidden="1"/>
    <row r="542" ht="14.25" hidden="1"/>
    <row r="543" ht="14.25" hidden="1"/>
    <row r="544" ht="14.25" hidden="1"/>
    <row r="545" ht="14.25" hidden="1"/>
    <row r="546" ht="14.25" hidden="1"/>
    <row r="547" ht="14.25" hidden="1"/>
    <row r="548" ht="14.25" hidden="1"/>
    <row r="549" ht="14.25" hidden="1"/>
    <row r="550" ht="14.25" hidden="1"/>
    <row r="551" ht="14.25" hidden="1"/>
    <row r="552" ht="14.25" hidden="1"/>
    <row r="553" ht="14.25" hidden="1"/>
    <row r="554" ht="14.25" hidden="1"/>
    <row r="555" ht="14.25" hidden="1"/>
    <row r="556" ht="14.25" hidden="1"/>
    <row r="557" ht="14.25" hidden="1"/>
    <row r="558" ht="14.25" hidden="1"/>
    <row r="559" ht="14.25" hidden="1"/>
    <row r="560" ht="14.25" hidden="1"/>
    <row r="561" ht="14.25" hidden="1"/>
    <row r="562" ht="14.25" hidden="1"/>
    <row r="563" ht="14.25" hidden="1"/>
    <row r="564" ht="14.25" hidden="1"/>
    <row r="565" ht="14.25" hidden="1"/>
    <row r="566" ht="14.25" hidden="1"/>
    <row r="567" ht="14.25" hidden="1"/>
    <row r="568" ht="14.25" hidden="1"/>
    <row r="569" ht="14.25" hidden="1"/>
    <row r="570" ht="14.25" hidden="1"/>
    <row r="571" ht="14.25" hidden="1"/>
    <row r="572" ht="14.25" hidden="1"/>
    <row r="573" ht="14.25" hidden="1"/>
    <row r="574" ht="14.25" hidden="1"/>
    <row r="575" ht="14.25" hidden="1"/>
    <row r="576" ht="14.25" hidden="1"/>
    <row r="577" ht="14.25" hidden="1"/>
    <row r="578" ht="14.25" hidden="1"/>
    <row r="579" ht="14.25" hidden="1"/>
    <row r="580" ht="14.25" hidden="1"/>
    <row r="581" ht="14.25" hidden="1"/>
    <row r="582" ht="14.25" hidden="1"/>
    <row r="583" ht="14.25" hidden="1"/>
    <row r="584" ht="14.25" hidden="1"/>
    <row r="585" ht="14.25" hidden="1"/>
    <row r="586" ht="14.25" hidden="1"/>
    <row r="587" ht="14.25" hidden="1"/>
    <row r="588" ht="14.25" hidden="1"/>
    <row r="589" ht="14.25" hidden="1"/>
    <row r="590" ht="14.25" hidden="1"/>
    <row r="591" ht="14.25" hidden="1"/>
    <row r="592" ht="14.25" hidden="1"/>
    <row r="593" ht="14.25" hidden="1"/>
    <row r="594" ht="14.25" hidden="1"/>
    <row r="595" ht="14.25" hidden="1"/>
    <row r="596" ht="14.25" hidden="1"/>
    <row r="597" ht="14.25" hidden="1"/>
    <row r="598" ht="14.25" hidden="1"/>
    <row r="599" ht="14.25" hidden="1"/>
    <row r="600" ht="14.25" hidden="1"/>
    <row r="601" ht="14.25" hidden="1"/>
    <row r="602" ht="14.25" hidden="1"/>
    <row r="603" ht="14.25" hidden="1"/>
    <row r="604" ht="14.25" hidden="1"/>
    <row r="605" ht="14.25" hidden="1"/>
    <row r="606" ht="14.25" hidden="1"/>
    <row r="607" ht="14.25" hidden="1"/>
    <row r="608" ht="14.25" hidden="1"/>
    <row r="609" ht="14.25" hidden="1"/>
    <row r="610" ht="14.25" hidden="1"/>
    <row r="611" ht="14.25" hidden="1"/>
    <row r="612" ht="14.25" hidden="1"/>
    <row r="613" ht="14.25" hidden="1"/>
    <row r="614" ht="14.25" hidden="1"/>
    <row r="615" ht="14.25" hidden="1"/>
    <row r="616" ht="14.25" hidden="1"/>
    <row r="617" ht="14.25" hidden="1"/>
    <row r="618" ht="14.25" hidden="1"/>
    <row r="619" ht="14.25" hidden="1"/>
    <row r="620" ht="14.25" hidden="1"/>
    <row r="621" ht="14.25" hidden="1"/>
    <row r="622" ht="14.25" hidden="1"/>
    <row r="623" ht="14.25" hidden="1"/>
    <row r="624" ht="14.25" hidden="1"/>
    <row r="625" ht="14.25" hidden="1"/>
    <row r="626" ht="14.25" hidden="1"/>
    <row r="627" ht="14.25" hidden="1"/>
    <row r="628" ht="14.25" hidden="1"/>
    <row r="629" ht="14.25" hidden="1"/>
    <row r="630" ht="14.25" hidden="1"/>
    <row r="631" ht="14.25" hidden="1"/>
    <row r="632" ht="14.25" hidden="1"/>
    <row r="633" ht="14.25" hidden="1"/>
    <row r="634" ht="14.25" hidden="1"/>
    <row r="635" ht="14.25" hidden="1"/>
    <row r="636" ht="14.25" hidden="1"/>
    <row r="637" ht="14.25" hidden="1"/>
    <row r="638" ht="14.25" hidden="1"/>
    <row r="639" ht="14.25" hidden="1"/>
    <row r="640" ht="14.25" hidden="1"/>
    <row r="641" ht="14.25" hidden="1"/>
    <row r="642" ht="14.25" hidden="1"/>
    <row r="643" ht="14.25" hidden="1"/>
    <row r="644" ht="14.25" hidden="1"/>
    <row r="645" ht="14.25" hidden="1"/>
    <row r="646" ht="14.25" hidden="1"/>
    <row r="647" ht="14.25" hidden="1"/>
    <row r="648" ht="14.25" hidden="1"/>
    <row r="649" ht="14.25" hidden="1"/>
    <row r="650" ht="14.25" hidden="1"/>
    <row r="651" ht="14.25" hidden="1"/>
    <row r="652" ht="14.25" hidden="1"/>
    <row r="653" ht="14.25" hidden="1"/>
    <row r="654" ht="14.25" hidden="1"/>
    <row r="655" ht="14.25" hidden="1"/>
    <row r="656" ht="14.25" hidden="1"/>
    <row r="657" ht="14.25" hidden="1"/>
    <row r="658" ht="14.25" hidden="1"/>
    <row r="659" ht="14.25" hidden="1"/>
    <row r="660" ht="14.25" hidden="1"/>
    <row r="661" ht="14.25" hidden="1"/>
    <row r="662" ht="14.25" hidden="1"/>
    <row r="663" ht="14.25" hidden="1"/>
    <row r="664" ht="14.25" hidden="1"/>
    <row r="665" ht="14.25" hidden="1"/>
    <row r="666" ht="14.25" hidden="1"/>
    <row r="667" ht="14.25" hidden="1"/>
    <row r="668" ht="14.25" hidden="1"/>
    <row r="669" ht="14.25" hidden="1"/>
    <row r="670" ht="14.25" hidden="1"/>
    <row r="671" ht="14.25" hidden="1"/>
    <row r="672" ht="14.25" hidden="1"/>
    <row r="673" ht="14.25" hidden="1"/>
    <row r="674" ht="14.25" hidden="1"/>
    <row r="675" ht="14.25" hidden="1"/>
    <row r="676" ht="14.25" hidden="1"/>
    <row r="677" ht="14.25" hidden="1"/>
    <row r="678" ht="14.25" hidden="1"/>
    <row r="679" ht="14.25" hidden="1"/>
    <row r="680" ht="14.25" hidden="1"/>
    <row r="681" ht="14.25" hidden="1"/>
    <row r="682" ht="14.25" hidden="1"/>
    <row r="683" ht="14.25" hidden="1"/>
    <row r="684" ht="14.25" hidden="1"/>
    <row r="685" ht="14.25" hidden="1"/>
    <row r="686" ht="14.25" hidden="1"/>
    <row r="687" ht="14.25" hidden="1"/>
    <row r="688" ht="14.25" hidden="1"/>
    <row r="689" ht="14.25" hidden="1"/>
    <row r="690" ht="14.25" hidden="1"/>
    <row r="691" ht="14.25" hidden="1"/>
    <row r="692" ht="14.25" hidden="1"/>
    <row r="693" ht="14.25" hidden="1"/>
    <row r="694" ht="14.25" hidden="1"/>
    <row r="695" ht="14.25" hidden="1"/>
    <row r="696" ht="14.25" hidden="1"/>
    <row r="697" ht="14.25" hidden="1"/>
    <row r="698" ht="14.25" hidden="1"/>
    <row r="699" ht="14.25" hidden="1"/>
    <row r="700" ht="14.25" hidden="1"/>
    <row r="701" ht="14.25" hidden="1"/>
    <row r="702" ht="14.25" hidden="1"/>
    <row r="703" ht="14.25" hidden="1"/>
    <row r="704" ht="14.25" hidden="1"/>
    <row r="705" ht="14.25" hidden="1"/>
    <row r="706" ht="14.25" hidden="1"/>
    <row r="707" ht="14.25" hidden="1"/>
    <row r="708" ht="14.25" hidden="1"/>
    <row r="709" ht="14.25" hidden="1"/>
    <row r="710" ht="14.25" hidden="1"/>
    <row r="711" ht="14.25" hidden="1"/>
    <row r="712" ht="14.25" hidden="1"/>
    <row r="713" ht="14.25" hidden="1"/>
    <row r="714" ht="14.25" hidden="1"/>
    <row r="715" ht="14.25" hidden="1"/>
    <row r="716" ht="14.25" hidden="1"/>
    <row r="717" ht="14.25" hidden="1"/>
    <row r="718" ht="14.25" hidden="1"/>
    <row r="719" ht="14.25" hidden="1"/>
    <row r="720" ht="14.25" hidden="1"/>
    <row r="721" ht="14.25" hidden="1"/>
    <row r="722" ht="14.25" hidden="1"/>
    <row r="723" ht="14.25" hidden="1"/>
    <row r="724" ht="14.25" hidden="1"/>
    <row r="725" ht="14.25" hidden="1"/>
    <row r="726" ht="14.25" hidden="1"/>
    <row r="727" ht="14.25" hidden="1"/>
    <row r="728" ht="14.25" hidden="1"/>
    <row r="729" ht="14.25" hidden="1"/>
    <row r="730" ht="14.25" hidden="1"/>
    <row r="731" ht="14.25" hidden="1"/>
    <row r="732" ht="14.25" hidden="1"/>
    <row r="733" ht="14.25" hidden="1"/>
    <row r="734" ht="14.25" hidden="1"/>
    <row r="735" ht="14.25" hidden="1"/>
    <row r="736" ht="14.25" hidden="1"/>
    <row r="737" ht="14.25" hidden="1"/>
    <row r="738" ht="14.25" hidden="1"/>
    <row r="739" ht="14.25" hidden="1"/>
    <row r="740" ht="14.25" hidden="1"/>
    <row r="741" ht="14.25" hidden="1"/>
    <row r="742" ht="14.25" hidden="1"/>
    <row r="743" ht="14.25" hidden="1"/>
    <row r="744" ht="14.25" hidden="1"/>
    <row r="745" ht="14.25" hidden="1"/>
    <row r="746" ht="14.25" hidden="1"/>
    <row r="747" ht="14.25" hidden="1"/>
    <row r="748" ht="14.25" hidden="1"/>
    <row r="749" ht="14.25" hidden="1"/>
    <row r="750" ht="14.25" hidden="1"/>
    <row r="751" ht="14.25" hidden="1"/>
    <row r="752" ht="14.25" hidden="1"/>
    <row r="753" ht="14.25" hidden="1"/>
    <row r="754" ht="14.25" hidden="1"/>
    <row r="755" ht="14.25" hidden="1"/>
    <row r="756" ht="14.25" hidden="1"/>
    <row r="757" ht="14.25" hidden="1"/>
    <row r="758" ht="14.25" hidden="1"/>
    <row r="759" ht="14.25" hidden="1"/>
    <row r="760" ht="14.25" hidden="1"/>
    <row r="761" ht="14.25" hidden="1"/>
    <row r="762" ht="14.25" hidden="1"/>
    <row r="763" ht="14.25" hidden="1"/>
    <row r="764" ht="14.25" hidden="1"/>
    <row r="765" ht="14.25" hidden="1"/>
    <row r="766" ht="14.25" hidden="1"/>
    <row r="767" ht="14.25" hidden="1"/>
    <row r="768" ht="14.25" hidden="1"/>
    <row r="769" ht="14.25" hidden="1"/>
    <row r="770" ht="14.25" hidden="1"/>
    <row r="771" ht="14.25" hidden="1"/>
    <row r="772" ht="14.25" hidden="1"/>
    <row r="773" ht="14.25" hidden="1"/>
    <row r="774" ht="14.25" hidden="1"/>
    <row r="775" ht="14.25" hidden="1"/>
    <row r="776" ht="14.25" hidden="1"/>
    <row r="777" ht="14.25" hidden="1"/>
    <row r="778" ht="14.25" hidden="1"/>
    <row r="779" ht="14.25" hidden="1"/>
    <row r="780" ht="14.25" hidden="1"/>
    <row r="781" ht="14.25" hidden="1"/>
    <row r="782" ht="14.25" hidden="1"/>
    <row r="783" ht="14.25" hidden="1"/>
    <row r="784" ht="14.25" hidden="1"/>
    <row r="785" ht="14.25" hidden="1"/>
    <row r="786" ht="14.25" hidden="1"/>
    <row r="787" ht="14.25" hidden="1"/>
    <row r="788" ht="14.25" hidden="1"/>
    <row r="789" ht="14.25" hidden="1"/>
    <row r="790" ht="14.25" hidden="1"/>
    <row r="791" ht="14.25" hidden="1"/>
    <row r="792" ht="14.25" hidden="1"/>
    <row r="793" ht="14.25" hidden="1"/>
    <row r="794" ht="14.25" hidden="1"/>
    <row r="795" ht="14.25" hidden="1"/>
    <row r="796" ht="14.25" hidden="1"/>
    <row r="797" ht="14.25" hidden="1"/>
    <row r="798" ht="14.25" hidden="1"/>
    <row r="799" ht="14.25" hidden="1"/>
    <row r="800" ht="14.25" hidden="1"/>
    <row r="801" ht="14.25" hidden="1"/>
    <row r="802" ht="14.25" hidden="1"/>
    <row r="803" ht="14.25" hidden="1"/>
    <row r="804" ht="14.25" hidden="1"/>
    <row r="805" ht="14.25" hidden="1"/>
    <row r="806" ht="14.25" hidden="1"/>
    <row r="807" ht="14.25" hidden="1"/>
    <row r="808" ht="14.25" hidden="1"/>
    <row r="809" ht="14.25" hidden="1"/>
    <row r="810" ht="14.25" hidden="1"/>
    <row r="811" ht="14.25" hidden="1"/>
    <row r="812" ht="14.25" hidden="1"/>
    <row r="813" ht="14.25" hidden="1"/>
    <row r="814" ht="14.25" hidden="1"/>
    <row r="815" ht="14.25" hidden="1"/>
    <row r="816" ht="14.25" hidden="1"/>
    <row r="817" ht="14.25" hidden="1"/>
    <row r="818" ht="14.25" hidden="1"/>
    <row r="819" ht="14.25" hidden="1"/>
    <row r="820" ht="14.25" hidden="1"/>
    <row r="821" ht="14.25" hidden="1"/>
    <row r="822" ht="14.25" hidden="1"/>
    <row r="823" ht="14.25" hidden="1"/>
    <row r="824" ht="14.25" hidden="1"/>
    <row r="825" ht="14.25" hidden="1"/>
    <row r="826" ht="14.25" hidden="1"/>
    <row r="827" ht="14.25" hidden="1"/>
    <row r="828" ht="14.25" hidden="1"/>
    <row r="829" ht="14.25" hidden="1"/>
    <row r="830" ht="14.25" hidden="1"/>
    <row r="831" ht="14.25" hidden="1"/>
    <row r="832" ht="14.25" hidden="1"/>
    <row r="833" ht="14.25" hidden="1"/>
    <row r="834" ht="14.25" hidden="1"/>
    <row r="835" ht="14.25" hidden="1"/>
    <row r="836" ht="14.25" hidden="1"/>
    <row r="837" ht="14.25" hidden="1"/>
    <row r="838" ht="14.25" hidden="1"/>
    <row r="839" ht="14.25" hidden="1"/>
    <row r="840" ht="14.25" hidden="1"/>
    <row r="841" ht="14.25" hidden="1"/>
    <row r="842" ht="14.25" hidden="1"/>
    <row r="843" ht="14.25" hidden="1"/>
    <row r="844" ht="14.25" hidden="1"/>
    <row r="845" ht="14.25" hidden="1"/>
    <row r="846" ht="14.25" hidden="1"/>
    <row r="847" ht="14.25" hidden="1"/>
    <row r="848" ht="14.25" hidden="1"/>
    <row r="849" ht="14.25" hidden="1"/>
    <row r="850" ht="14.25" hidden="1"/>
    <row r="851" ht="14.25" hidden="1"/>
    <row r="852" ht="14.25" hidden="1"/>
    <row r="853" ht="14.25" hidden="1"/>
    <row r="854" ht="14.25" hidden="1"/>
    <row r="855" ht="14.25" hidden="1"/>
    <row r="856" ht="14.25" hidden="1"/>
    <row r="857" ht="14.25" hidden="1"/>
    <row r="858" ht="14.25" hidden="1"/>
    <row r="859" ht="14.25" hidden="1"/>
    <row r="860" ht="14.25" hidden="1"/>
    <row r="861" ht="14.25" hidden="1"/>
    <row r="862" ht="14.25" hidden="1"/>
    <row r="863" ht="14.25" hidden="1"/>
    <row r="864" ht="14.25" hidden="1"/>
    <row r="865" ht="14.25" hidden="1"/>
    <row r="866" ht="14.25" hidden="1"/>
    <row r="867" ht="14.25" hidden="1"/>
    <row r="868" ht="14.25" hidden="1"/>
    <row r="869" ht="14.25" hidden="1"/>
    <row r="870" ht="14.25" hidden="1"/>
    <row r="871" ht="14.25" hidden="1"/>
    <row r="872" ht="14.25" hidden="1"/>
    <row r="873" ht="14.25" hidden="1"/>
    <row r="874" ht="14.25" hidden="1"/>
    <row r="875" ht="14.25" hidden="1"/>
    <row r="876" ht="14.25" hidden="1"/>
    <row r="877" ht="14.25" hidden="1"/>
    <row r="878" ht="14.25" hidden="1"/>
    <row r="879" ht="14.25" hidden="1"/>
    <row r="880" ht="14.25" hidden="1"/>
    <row r="881" ht="14.25" hidden="1"/>
    <row r="882" ht="14.25" hidden="1"/>
    <row r="883" ht="14.25" hidden="1"/>
    <row r="884" ht="14.25" hidden="1"/>
    <row r="885" ht="14.25" hidden="1"/>
    <row r="886" ht="14.25" hidden="1"/>
    <row r="887" ht="14.25" hidden="1"/>
    <row r="888" ht="14.25" hidden="1"/>
    <row r="889" ht="14.25" hidden="1"/>
    <row r="890" ht="14.25" hidden="1"/>
    <row r="891" ht="14.25" hidden="1"/>
    <row r="892" ht="14.25" hidden="1"/>
    <row r="893" ht="14.25" hidden="1"/>
    <row r="894" ht="14.25" hidden="1"/>
    <row r="895" ht="14.25" hidden="1"/>
    <row r="896" ht="14.25" hidden="1"/>
    <row r="897" ht="14.25" hidden="1"/>
    <row r="898" ht="14.25" hidden="1"/>
    <row r="899" ht="14.25" hidden="1"/>
    <row r="900" ht="14.25" hidden="1"/>
    <row r="901" ht="14.25" hidden="1"/>
    <row r="902" ht="14.25" hidden="1"/>
    <row r="903" ht="14.25" hidden="1"/>
    <row r="904" ht="14.25" hidden="1"/>
    <row r="905" ht="14.25" hidden="1"/>
    <row r="906" ht="14.25" hidden="1"/>
    <row r="907" ht="14.25" hidden="1"/>
    <row r="908" ht="14.25" hidden="1"/>
    <row r="909" ht="14.25" hidden="1"/>
    <row r="910" ht="14.25" hidden="1"/>
    <row r="911" ht="14.25" hidden="1"/>
    <row r="912" ht="14.25" hidden="1"/>
    <row r="913" ht="14.25" hidden="1"/>
    <row r="914" ht="14.25" hidden="1"/>
    <row r="915" ht="14.25" hidden="1"/>
    <row r="916" ht="14.25" hidden="1"/>
    <row r="917" ht="14.25" hidden="1"/>
    <row r="918" ht="14.25" hidden="1"/>
    <row r="919" ht="14.25" hidden="1"/>
    <row r="920" ht="14.25" hidden="1"/>
    <row r="921" ht="14.25" hidden="1"/>
    <row r="922" ht="14.25" hidden="1"/>
    <row r="923" ht="14.25" hidden="1"/>
    <row r="924" ht="14.25" hidden="1"/>
    <row r="925" ht="14.25" hidden="1"/>
    <row r="926" ht="14.25" hidden="1"/>
    <row r="927" ht="14.25" hidden="1"/>
    <row r="928" ht="14.25" hidden="1"/>
    <row r="929" ht="14.25" hidden="1"/>
    <row r="930" ht="14.25" hidden="1"/>
    <row r="931" ht="14.25" hidden="1"/>
    <row r="932" ht="14.25" hidden="1"/>
    <row r="933" ht="14.25" hidden="1"/>
    <row r="934" ht="14.25" hidden="1"/>
    <row r="935" ht="14.25" hidden="1"/>
    <row r="936" ht="14.25" hidden="1"/>
    <row r="937" ht="14.25" hidden="1"/>
    <row r="938" ht="14.25" hidden="1"/>
    <row r="939" ht="14.25" hidden="1"/>
    <row r="940" ht="14.25" hidden="1"/>
    <row r="941" ht="14.25" hidden="1"/>
    <row r="942" ht="14.25" hidden="1"/>
    <row r="943" ht="14.25" hidden="1"/>
    <row r="944" ht="14.25" hidden="1"/>
    <row r="945" ht="14.25" hidden="1"/>
    <row r="946" ht="14.25" hidden="1"/>
    <row r="947" ht="14.25" hidden="1"/>
    <row r="948" ht="14.25" hidden="1"/>
    <row r="949" ht="14.25" hidden="1"/>
    <row r="950" ht="14.25" hidden="1"/>
    <row r="951" ht="14.25" hidden="1"/>
    <row r="952" ht="14.25" hidden="1"/>
    <row r="953" ht="14.25" hidden="1"/>
    <row r="954" ht="14.25" hidden="1"/>
    <row r="955" ht="14.25" hidden="1"/>
    <row r="956" ht="14.25" hidden="1"/>
    <row r="957" ht="14.25" hidden="1"/>
    <row r="958" ht="14.25" hidden="1"/>
    <row r="959" ht="14.25" hidden="1"/>
    <row r="960" ht="14.25" hidden="1"/>
    <row r="961" ht="14.25" hidden="1"/>
    <row r="962" ht="14.25" hidden="1"/>
    <row r="963" ht="14.25" hidden="1"/>
    <row r="964" ht="14.25" hidden="1"/>
    <row r="965" ht="14.25" hidden="1"/>
    <row r="966" ht="14.25" hidden="1"/>
    <row r="967" ht="14.25" hidden="1"/>
    <row r="968" ht="14.25" hidden="1"/>
    <row r="969" ht="14.25" hidden="1"/>
    <row r="970" ht="14.25" hidden="1"/>
    <row r="971" ht="14.25" hidden="1"/>
    <row r="972" ht="14.25" hidden="1"/>
    <row r="973" ht="14.25" hidden="1"/>
    <row r="974" ht="14.25" hidden="1"/>
    <row r="975" ht="14.25" hidden="1"/>
    <row r="976" ht="14.25" hidden="1"/>
    <row r="977" ht="14.25" hidden="1"/>
    <row r="978" ht="14.25" hidden="1"/>
    <row r="979" ht="14.25" hidden="1"/>
    <row r="980" ht="14.25" hidden="1"/>
    <row r="981" ht="14.25" hidden="1"/>
    <row r="982" ht="14.25" hidden="1"/>
    <row r="983" ht="14.25" hidden="1"/>
    <row r="984" ht="14.25" hidden="1"/>
    <row r="985" ht="14.25" hidden="1"/>
    <row r="986" ht="14.25" hidden="1"/>
    <row r="987" ht="14.25" hidden="1"/>
    <row r="988" ht="14.25" hidden="1"/>
    <row r="989" ht="14.25" hidden="1"/>
    <row r="990" ht="14.25" hidden="1"/>
    <row r="991" ht="14.25" hidden="1"/>
    <row r="992" ht="14.25" hidden="1"/>
    <row r="993" spans="25:37" ht="14.25" hidden="1"/>
    <row r="994" spans="25:37" ht="14.25" hidden="1"/>
    <row r="995" spans="25:37" ht="14.25" hidden="1"/>
    <row r="996" spans="25:37" ht="14.25" hidden="1"/>
    <row r="997" spans="25:37" ht="14.25" hidden="1"/>
    <row r="998" spans="25:37" ht="14.25" hidden="1">
      <c r="Z998" s="77"/>
      <c r="AA998" s="136"/>
      <c r="AB998" s="136" t="str">
        <f>版权声明!AD3</f>
        <v>8171</v>
      </c>
      <c r="AC998" s="137" t="s">
        <v>83</v>
      </c>
      <c r="AD998" s="136">
        <f ca="1">YEAR(NOW())</f>
        <v>2023</v>
      </c>
      <c r="AE998" s="138" t="str">
        <f ca="1">AB998&amp;AC998&amp;AD998</f>
        <v>8171宁波市集隆金属制品有限公司2023</v>
      </c>
      <c r="AF998" s="138"/>
      <c r="AG998" s="138"/>
      <c r="AH998" s="138"/>
      <c r="AI998" s="138"/>
      <c r="AJ998" s="138"/>
      <c r="AK998" s="77"/>
    </row>
    <row r="999" spans="25:37" ht="10.5" hidden="1" customHeight="1">
      <c r="AK999" s="78"/>
    </row>
    <row r="1000" spans="25:37" ht="14.25" hidden="1">
      <c r="Y1000" s="78"/>
      <c r="Z1000" s="120"/>
      <c r="AA1000" s="139" t="s">
        <v>46</v>
      </c>
      <c r="AB1000" s="139" t="s">
        <v>47</v>
      </c>
      <c r="AC1000" s="139" t="s">
        <v>48</v>
      </c>
      <c r="AD1000" s="139" t="s">
        <v>49</v>
      </c>
      <c r="AE1000" s="139" t="s">
        <v>50</v>
      </c>
      <c r="AF1000" s="139" t="s">
        <v>51</v>
      </c>
      <c r="AG1000" s="139" t="s">
        <v>52</v>
      </c>
      <c r="AH1000" s="139" t="s">
        <v>53</v>
      </c>
      <c r="AI1000" s="140" t="s">
        <v>54</v>
      </c>
      <c r="AJ1000" s="139" t="s">
        <v>55</v>
      </c>
      <c r="AK1000" s="78"/>
    </row>
    <row r="1001" spans="25:37" ht="14.25" hidden="1">
      <c r="Y1001" s="78"/>
      <c r="AA1001" s="139">
        <v>1</v>
      </c>
      <c r="AB1001" s="139" t="str">
        <f>$AB$998</f>
        <v>8171</v>
      </c>
      <c r="AC1001" s="141" t="s">
        <v>103</v>
      </c>
      <c r="AD1001" s="139">
        <v>2018</v>
      </c>
      <c r="AE1001" s="138" t="str">
        <f t="shared" ref="AE1001:AE1040" si="0">AB1001&amp;AC1001&amp;AD1001</f>
        <v>8171新大榭2018</v>
      </c>
      <c r="AF1001" s="139" t="s">
        <v>104</v>
      </c>
      <c r="AG1001" s="139" t="s">
        <v>59</v>
      </c>
      <c r="AH1001" s="139">
        <v>1</v>
      </c>
      <c r="AI1001" s="140">
        <v>73050</v>
      </c>
      <c r="AJ1001" s="141" t="s">
        <v>60</v>
      </c>
      <c r="AK1001" s="78"/>
    </row>
    <row r="1002" spans="25:37" ht="14.25" hidden="1">
      <c r="Y1002" s="78"/>
      <c r="AA1002" s="139">
        <v>2</v>
      </c>
      <c r="AB1002" s="139" t="str">
        <f t="shared" ref="AB1002:AB1040" si="1">$AB$998</f>
        <v>8171</v>
      </c>
      <c r="AC1002" s="141" t="str">
        <f>$AC$1001</f>
        <v>新大榭</v>
      </c>
      <c r="AD1002" s="139">
        <v>2019</v>
      </c>
      <c r="AE1002" s="138" t="str">
        <f t="shared" si="0"/>
        <v>8171新大榭2019</v>
      </c>
      <c r="AF1002" s="139" t="s">
        <v>105</v>
      </c>
      <c r="AG1002" s="139" t="s">
        <v>59</v>
      </c>
      <c r="AH1002" s="139">
        <v>1</v>
      </c>
      <c r="AI1002" s="140">
        <v>73050</v>
      </c>
      <c r="AJ1002" s="141" t="s">
        <v>61</v>
      </c>
      <c r="AK1002" s="78"/>
    </row>
    <row r="1003" spans="25:37" ht="14.25" hidden="1">
      <c r="Y1003" s="78"/>
      <c r="AA1003" s="139">
        <v>3</v>
      </c>
      <c r="AB1003" s="139" t="str">
        <f t="shared" si="1"/>
        <v>8171</v>
      </c>
      <c r="AC1003" s="141" t="str">
        <f t="shared" ref="AC1003:AC1010" si="2">$AC$1001</f>
        <v>新大榭</v>
      </c>
      <c r="AD1003" s="139">
        <v>2020</v>
      </c>
      <c r="AE1003" s="138" t="str">
        <f t="shared" si="0"/>
        <v>8171新大榭2020</v>
      </c>
      <c r="AF1003" s="139" t="s">
        <v>105</v>
      </c>
      <c r="AG1003" s="139" t="s">
        <v>59</v>
      </c>
      <c r="AH1003" s="139">
        <v>1</v>
      </c>
      <c r="AI1003" s="140">
        <v>73050</v>
      </c>
      <c r="AJ1003" s="141" t="s">
        <v>62</v>
      </c>
      <c r="AK1003" s="78"/>
    </row>
    <row r="1004" spans="25:37" ht="14.25" hidden="1">
      <c r="Y1004" s="78"/>
      <c r="AA1004" s="139">
        <v>4</v>
      </c>
      <c r="AB1004" s="139" t="str">
        <f t="shared" si="1"/>
        <v>8171</v>
      </c>
      <c r="AC1004" s="141" t="str">
        <f t="shared" si="2"/>
        <v>新大榭</v>
      </c>
      <c r="AD1004" s="139">
        <v>2021</v>
      </c>
      <c r="AE1004" s="138" t="str">
        <f t="shared" si="0"/>
        <v>8171新大榭2021</v>
      </c>
      <c r="AF1004" s="139" t="s">
        <v>105</v>
      </c>
      <c r="AG1004" s="139" t="s">
        <v>59</v>
      </c>
      <c r="AH1004" s="139">
        <v>1</v>
      </c>
      <c r="AI1004" s="140">
        <v>73050</v>
      </c>
      <c r="AJ1004" s="141" t="s">
        <v>62</v>
      </c>
      <c r="AK1004" s="78"/>
    </row>
    <row r="1005" spans="25:37" ht="14.25" hidden="1">
      <c r="Y1005" s="78"/>
      <c r="AA1005" s="139">
        <v>5</v>
      </c>
      <c r="AB1005" s="139" t="str">
        <f t="shared" si="1"/>
        <v>8171</v>
      </c>
      <c r="AC1005" s="141" t="str">
        <f t="shared" si="2"/>
        <v>新大榭</v>
      </c>
      <c r="AD1005" s="139">
        <v>2022</v>
      </c>
      <c r="AE1005" s="138" t="str">
        <f t="shared" si="0"/>
        <v>8171新大榭2022</v>
      </c>
      <c r="AF1005" s="139" t="s">
        <v>105</v>
      </c>
      <c r="AG1005" s="139" t="s">
        <v>59</v>
      </c>
      <c r="AH1005" s="139">
        <v>1</v>
      </c>
      <c r="AI1005" s="140">
        <v>73050</v>
      </c>
      <c r="AJ1005" s="141" t="s">
        <v>62</v>
      </c>
      <c r="AK1005" s="78"/>
    </row>
    <row r="1006" spans="25:37" ht="14.25" hidden="1">
      <c r="Y1006" s="78"/>
      <c r="AA1006" s="139">
        <v>6</v>
      </c>
      <c r="AB1006" s="139" t="str">
        <f t="shared" si="1"/>
        <v>8171</v>
      </c>
      <c r="AC1006" s="141" t="str">
        <f t="shared" si="2"/>
        <v>新大榭</v>
      </c>
      <c r="AD1006" s="139">
        <v>2023</v>
      </c>
      <c r="AE1006" s="138" t="str">
        <f t="shared" si="0"/>
        <v>8171新大榭2023</v>
      </c>
      <c r="AF1006" s="139" t="s">
        <v>105</v>
      </c>
      <c r="AG1006" s="139" t="s">
        <v>59</v>
      </c>
      <c r="AH1006" s="139">
        <v>1</v>
      </c>
      <c r="AI1006" s="140">
        <v>73050</v>
      </c>
      <c r="AJ1006" s="141" t="s">
        <v>62</v>
      </c>
      <c r="AK1006" s="78"/>
    </row>
    <row r="1007" spans="25:37" ht="14.25" hidden="1">
      <c r="Y1007" s="78"/>
      <c r="AA1007" s="139">
        <v>7</v>
      </c>
      <c r="AB1007" s="139" t="str">
        <f t="shared" si="1"/>
        <v>8171</v>
      </c>
      <c r="AC1007" s="141" t="str">
        <f t="shared" si="2"/>
        <v>新大榭</v>
      </c>
      <c r="AD1007" s="139">
        <v>2024</v>
      </c>
      <c r="AE1007" s="138" t="str">
        <f t="shared" si="0"/>
        <v>8171新大榭2024</v>
      </c>
      <c r="AF1007" s="139" t="s">
        <v>105</v>
      </c>
      <c r="AG1007" s="139" t="s">
        <v>59</v>
      </c>
      <c r="AH1007" s="139">
        <v>1</v>
      </c>
      <c r="AI1007" s="140">
        <v>73050</v>
      </c>
      <c r="AJ1007" s="141" t="s">
        <v>62</v>
      </c>
      <c r="AK1007" s="78"/>
    </row>
    <row r="1008" spans="25:37" ht="14.25" hidden="1">
      <c r="Y1008" s="78"/>
      <c r="AA1008" s="139">
        <v>8</v>
      </c>
      <c r="AB1008" s="139" t="str">
        <f t="shared" si="1"/>
        <v>8171</v>
      </c>
      <c r="AC1008" s="141" t="str">
        <f t="shared" si="2"/>
        <v>新大榭</v>
      </c>
      <c r="AD1008" s="139">
        <v>2025</v>
      </c>
      <c r="AE1008" s="138" t="str">
        <f t="shared" si="0"/>
        <v>8171新大榭2025</v>
      </c>
      <c r="AF1008" s="139" t="s">
        <v>105</v>
      </c>
      <c r="AG1008" s="139" t="s">
        <v>59</v>
      </c>
      <c r="AH1008" s="139">
        <v>1</v>
      </c>
      <c r="AI1008" s="140">
        <v>73050</v>
      </c>
      <c r="AJ1008" s="141" t="s">
        <v>62</v>
      </c>
      <c r="AK1008" s="78"/>
    </row>
    <row r="1009" spans="25:37" ht="14.25" hidden="1">
      <c r="Y1009" s="78"/>
      <c r="AA1009" s="139">
        <v>9</v>
      </c>
      <c r="AB1009" s="139" t="str">
        <f t="shared" si="1"/>
        <v>8171</v>
      </c>
      <c r="AC1009" s="141" t="str">
        <f t="shared" si="2"/>
        <v>新大榭</v>
      </c>
      <c r="AD1009" s="139">
        <v>2026</v>
      </c>
      <c r="AE1009" s="138" t="str">
        <f t="shared" si="0"/>
        <v>8171新大榭2026</v>
      </c>
      <c r="AF1009" s="139" t="s">
        <v>105</v>
      </c>
      <c r="AG1009" s="139" t="s">
        <v>59</v>
      </c>
      <c r="AH1009" s="139">
        <v>1</v>
      </c>
      <c r="AI1009" s="140">
        <v>73050</v>
      </c>
      <c r="AJ1009" s="141" t="s">
        <v>62</v>
      </c>
      <c r="AK1009" s="78"/>
    </row>
    <row r="1010" spans="25:37" ht="14.25" hidden="1">
      <c r="Y1010" s="78"/>
      <c r="AA1010" s="139">
        <v>10</v>
      </c>
      <c r="AB1010" s="139" t="str">
        <f t="shared" si="1"/>
        <v>8171</v>
      </c>
      <c r="AC1010" s="141" t="str">
        <f t="shared" si="2"/>
        <v>新大榭</v>
      </c>
      <c r="AD1010" s="139">
        <v>2027</v>
      </c>
      <c r="AE1010" s="138" t="str">
        <f t="shared" si="0"/>
        <v>8171新大榭2027</v>
      </c>
      <c r="AF1010" s="139" t="s">
        <v>105</v>
      </c>
      <c r="AG1010" s="139" t="s">
        <v>59</v>
      </c>
      <c r="AH1010" s="139">
        <v>1</v>
      </c>
      <c r="AI1010" s="140">
        <v>73050</v>
      </c>
      <c r="AJ1010" s="141" t="s">
        <v>62</v>
      </c>
      <c r="AK1010" s="78"/>
    </row>
    <row r="1011" spans="25:37" ht="14.25" hidden="1">
      <c r="Y1011" s="78"/>
      <c r="AA1011" s="139">
        <v>11</v>
      </c>
      <c r="AB1011" s="139" t="str">
        <f t="shared" si="1"/>
        <v>8171</v>
      </c>
      <c r="AC1011" s="141" t="s">
        <v>58</v>
      </c>
      <c r="AD1011" s="139">
        <v>2018</v>
      </c>
      <c r="AE1011" s="138" t="str">
        <f t="shared" si="0"/>
        <v>8171新大榭论坛2018</v>
      </c>
      <c r="AF1011" s="139" t="s">
        <v>105</v>
      </c>
      <c r="AG1011" s="139" t="s">
        <v>59</v>
      </c>
      <c r="AH1011" s="139">
        <v>1</v>
      </c>
      <c r="AI1011" s="140">
        <v>73050</v>
      </c>
      <c r="AJ1011" s="141" t="s">
        <v>62</v>
      </c>
      <c r="AK1011" s="78"/>
    </row>
    <row r="1012" spans="25:37" ht="14.25" hidden="1">
      <c r="Y1012" s="78"/>
      <c r="AA1012" s="139">
        <v>12</v>
      </c>
      <c r="AB1012" s="139" t="str">
        <f t="shared" si="1"/>
        <v>8171</v>
      </c>
      <c r="AC1012" s="141" t="str">
        <f>$AC$1011</f>
        <v>新大榭论坛</v>
      </c>
      <c r="AD1012" s="139">
        <v>2019</v>
      </c>
      <c r="AE1012" s="138" t="str">
        <f t="shared" si="0"/>
        <v>8171新大榭论坛2019</v>
      </c>
      <c r="AF1012" s="139" t="s">
        <v>105</v>
      </c>
      <c r="AG1012" s="139" t="s">
        <v>59</v>
      </c>
      <c r="AH1012" s="139">
        <v>1</v>
      </c>
      <c r="AI1012" s="140">
        <v>73050</v>
      </c>
      <c r="AJ1012" s="141" t="s">
        <v>62</v>
      </c>
      <c r="AK1012" s="78"/>
    </row>
    <row r="1013" spans="25:37" ht="14.25" hidden="1">
      <c r="Y1013" s="78"/>
      <c r="AA1013" s="139">
        <v>13</v>
      </c>
      <c r="AB1013" s="139" t="str">
        <f t="shared" si="1"/>
        <v>8171</v>
      </c>
      <c r="AC1013" s="141" t="str">
        <f t="shared" ref="AC1013:AC1020" si="3">$AC$1011</f>
        <v>新大榭论坛</v>
      </c>
      <c r="AD1013" s="139">
        <v>2020</v>
      </c>
      <c r="AE1013" s="138" t="str">
        <f t="shared" si="0"/>
        <v>8171新大榭论坛2020</v>
      </c>
      <c r="AF1013" s="139" t="s">
        <v>105</v>
      </c>
      <c r="AG1013" s="139" t="s">
        <v>59</v>
      </c>
      <c r="AH1013" s="139">
        <v>1</v>
      </c>
      <c r="AI1013" s="140">
        <v>73050</v>
      </c>
      <c r="AJ1013" s="141" t="s">
        <v>62</v>
      </c>
      <c r="AK1013" s="78"/>
    </row>
    <row r="1014" spans="25:37" ht="14.25" hidden="1">
      <c r="Y1014" s="78"/>
      <c r="AA1014" s="139">
        <v>14</v>
      </c>
      <c r="AB1014" s="139" t="str">
        <f t="shared" si="1"/>
        <v>8171</v>
      </c>
      <c r="AC1014" s="141" t="str">
        <f t="shared" si="3"/>
        <v>新大榭论坛</v>
      </c>
      <c r="AD1014" s="139">
        <v>2021</v>
      </c>
      <c r="AE1014" s="138" t="str">
        <f t="shared" si="0"/>
        <v>8171新大榭论坛2021</v>
      </c>
      <c r="AF1014" s="139" t="s">
        <v>105</v>
      </c>
      <c r="AG1014" s="139" t="s">
        <v>59</v>
      </c>
      <c r="AH1014" s="139">
        <v>1</v>
      </c>
      <c r="AI1014" s="140">
        <v>73050</v>
      </c>
      <c r="AJ1014" s="141" t="s">
        <v>62</v>
      </c>
      <c r="AK1014" s="78"/>
    </row>
    <row r="1015" spans="25:37" ht="14.25" hidden="1">
      <c r="Y1015" s="78"/>
      <c r="AA1015" s="139">
        <v>15</v>
      </c>
      <c r="AB1015" s="139" t="str">
        <f t="shared" si="1"/>
        <v>8171</v>
      </c>
      <c r="AC1015" s="141" t="str">
        <f t="shared" si="3"/>
        <v>新大榭论坛</v>
      </c>
      <c r="AD1015" s="139">
        <v>2022</v>
      </c>
      <c r="AE1015" s="138" t="str">
        <f t="shared" si="0"/>
        <v>8171新大榭论坛2022</v>
      </c>
      <c r="AF1015" s="139" t="s">
        <v>105</v>
      </c>
      <c r="AG1015" s="139" t="s">
        <v>59</v>
      </c>
      <c r="AH1015" s="139">
        <v>1</v>
      </c>
      <c r="AI1015" s="140">
        <v>73050</v>
      </c>
      <c r="AJ1015" s="141" t="s">
        <v>62</v>
      </c>
      <c r="AK1015" s="78"/>
    </row>
    <row r="1016" spans="25:37" ht="14.25" hidden="1">
      <c r="Y1016" s="78"/>
      <c r="AA1016" s="139">
        <v>16</v>
      </c>
      <c r="AB1016" s="139" t="str">
        <f t="shared" si="1"/>
        <v>8171</v>
      </c>
      <c r="AC1016" s="141" t="str">
        <f t="shared" si="3"/>
        <v>新大榭论坛</v>
      </c>
      <c r="AD1016" s="139">
        <v>2023</v>
      </c>
      <c r="AE1016" s="138" t="str">
        <f t="shared" si="0"/>
        <v>8171新大榭论坛2023</v>
      </c>
      <c r="AF1016" s="139" t="s">
        <v>105</v>
      </c>
      <c r="AG1016" s="139" t="s">
        <v>59</v>
      </c>
      <c r="AH1016" s="139">
        <v>1</v>
      </c>
      <c r="AI1016" s="140">
        <v>73050</v>
      </c>
      <c r="AJ1016" s="141" t="s">
        <v>62</v>
      </c>
      <c r="AK1016" s="78"/>
    </row>
    <row r="1017" spans="25:37" ht="14.25" hidden="1">
      <c r="Y1017" s="78"/>
      <c r="AA1017" s="139">
        <v>17</v>
      </c>
      <c r="AB1017" s="139" t="str">
        <f t="shared" si="1"/>
        <v>8171</v>
      </c>
      <c r="AC1017" s="141" t="str">
        <f t="shared" si="3"/>
        <v>新大榭论坛</v>
      </c>
      <c r="AD1017" s="139">
        <v>2024</v>
      </c>
      <c r="AE1017" s="138" t="str">
        <f t="shared" si="0"/>
        <v>8171新大榭论坛2024</v>
      </c>
      <c r="AF1017" s="139" t="s">
        <v>105</v>
      </c>
      <c r="AG1017" s="139" t="s">
        <v>59</v>
      </c>
      <c r="AH1017" s="139">
        <v>1</v>
      </c>
      <c r="AI1017" s="140">
        <v>73050</v>
      </c>
      <c r="AJ1017" s="141" t="s">
        <v>62</v>
      </c>
      <c r="AK1017" s="78"/>
    </row>
    <row r="1018" spans="25:37" ht="14.25" hidden="1">
      <c r="Y1018" s="78"/>
      <c r="AA1018" s="139">
        <v>18</v>
      </c>
      <c r="AB1018" s="139" t="str">
        <f t="shared" si="1"/>
        <v>8171</v>
      </c>
      <c r="AC1018" s="141" t="str">
        <f t="shared" si="3"/>
        <v>新大榭论坛</v>
      </c>
      <c r="AD1018" s="139">
        <v>2025</v>
      </c>
      <c r="AE1018" s="138" t="str">
        <f t="shared" si="0"/>
        <v>8171新大榭论坛2025</v>
      </c>
      <c r="AF1018" s="139" t="s">
        <v>105</v>
      </c>
      <c r="AG1018" s="139" t="s">
        <v>59</v>
      </c>
      <c r="AH1018" s="139">
        <v>1</v>
      </c>
      <c r="AI1018" s="140">
        <v>73050</v>
      </c>
      <c r="AJ1018" s="141" t="s">
        <v>62</v>
      </c>
      <c r="AK1018" s="78"/>
    </row>
    <row r="1019" spans="25:37" ht="14.25" hidden="1">
      <c r="Y1019" s="78"/>
      <c r="AA1019" s="139">
        <v>19</v>
      </c>
      <c r="AB1019" s="139" t="str">
        <f t="shared" si="1"/>
        <v>8171</v>
      </c>
      <c r="AC1019" s="141" t="str">
        <f t="shared" si="3"/>
        <v>新大榭论坛</v>
      </c>
      <c r="AD1019" s="139">
        <v>2026</v>
      </c>
      <c r="AE1019" s="138" t="str">
        <f t="shared" si="0"/>
        <v>8171新大榭论坛2026</v>
      </c>
      <c r="AF1019" s="139" t="s">
        <v>105</v>
      </c>
      <c r="AG1019" s="139" t="s">
        <v>59</v>
      </c>
      <c r="AH1019" s="139">
        <v>1</v>
      </c>
      <c r="AI1019" s="140">
        <v>73050</v>
      </c>
      <c r="AJ1019" s="141" t="s">
        <v>62</v>
      </c>
      <c r="AK1019" s="78"/>
    </row>
    <row r="1020" spans="25:37" ht="14.25" hidden="1">
      <c r="Y1020" s="78"/>
      <c r="AA1020" s="139">
        <v>20</v>
      </c>
      <c r="AB1020" s="139" t="str">
        <f t="shared" si="1"/>
        <v>8171</v>
      </c>
      <c r="AC1020" s="141" t="str">
        <f t="shared" si="3"/>
        <v>新大榭论坛</v>
      </c>
      <c r="AD1020" s="139">
        <v>2027</v>
      </c>
      <c r="AE1020" s="138" t="str">
        <f t="shared" si="0"/>
        <v>8171新大榭论坛2027</v>
      </c>
      <c r="AF1020" s="139" t="s">
        <v>105</v>
      </c>
      <c r="AG1020" s="139" t="s">
        <v>59</v>
      </c>
      <c r="AH1020" s="139">
        <v>1</v>
      </c>
      <c r="AI1020" s="140">
        <v>73050</v>
      </c>
      <c r="AJ1020" s="141" t="s">
        <v>62</v>
      </c>
      <c r="AK1020" s="78"/>
    </row>
    <row r="1021" spans="25:37" ht="14.25" hidden="1">
      <c r="Y1021" s="78"/>
      <c r="AA1021" s="139">
        <v>21</v>
      </c>
      <c r="AB1021" s="139" t="str">
        <f t="shared" si="1"/>
        <v>8171</v>
      </c>
      <c r="AC1021" s="141" t="s">
        <v>106</v>
      </c>
      <c r="AD1021" s="139">
        <v>2018</v>
      </c>
      <c r="AE1021" s="138" t="str">
        <f t="shared" si="0"/>
        <v>8171新大榭工作室2018</v>
      </c>
      <c r="AF1021" s="139" t="s">
        <v>105</v>
      </c>
      <c r="AG1021" s="139" t="s">
        <v>59</v>
      </c>
      <c r="AH1021" s="139">
        <v>1</v>
      </c>
      <c r="AI1021" s="140">
        <v>73050</v>
      </c>
      <c r="AJ1021" s="141" t="s">
        <v>62</v>
      </c>
      <c r="AK1021" s="78"/>
    </row>
    <row r="1022" spans="25:37" ht="14.25" hidden="1">
      <c r="Y1022" s="78"/>
      <c r="AA1022" s="139">
        <v>22</v>
      </c>
      <c r="AB1022" s="139" t="str">
        <f t="shared" si="1"/>
        <v>8171</v>
      </c>
      <c r="AC1022" s="141" t="str">
        <f>$AC$1021</f>
        <v>新大榭工作室</v>
      </c>
      <c r="AD1022" s="139">
        <v>2019</v>
      </c>
      <c r="AE1022" s="138" t="str">
        <f t="shared" si="0"/>
        <v>8171新大榭工作室2019</v>
      </c>
      <c r="AF1022" s="139" t="s">
        <v>105</v>
      </c>
      <c r="AG1022" s="139" t="s">
        <v>59</v>
      </c>
      <c r="AH1022" s="139">
        <v>1</v>
      </c>
      <c r="AI1022" s="140">
        <v>73050</v>
      </c>
      <c r="AJ1022" s="141" t="s">
        <v>62</v>
      </c>
      <c r="AK1022" s="78"/>
    </row>
    <row r="1023" spans="25:37" ht="14.25" hidden="1">
      <c r="Y1023" s="78"/>
      <c r="AA1023" s="139">
        <v>23</v>
      </c>
      <c r="AB1023" s="139" t="str">
        <f t="shared" si="1"/>
        <v>8171</v>
      </c>
      <c r="AC1023" s="141" t="str">
        <f t="shared" ref="AC1023:AC1030" si="4">$AC$1021</f>
        <v>新大榭工作室</v>
      </c>
      <c r="AD1023" s="139">
        <v>2020</v>
      </c>
      <c r="AE1023" s="138" t="str">
        <f t="shared" si="0"/>
        <v>8171新大榭工作室2020</v>
      </c>
      <c r="AF1023" s="139" t="s">
        <v>105</v>
      </c>
      <c r="AG1023" s="139" t="s">
        <v>59</v>
      </c>
      <c r="AH1023" s="139">
        <v>1</v>
      </c>
      <c r="AI1023" s="140">
        <v>73050</v>
      </c>
      <c r="AJ1023" s="141" t="s">
        <v>62</v>
      </c>
      <c r="AK1023" s="78"/>
    </row>
    <row r="1024" spans="25:37" ht="14.25" hidden="1">
      <c r="Y1024" s="78"/>
      <c r="AA1024" s="139">
        <v>24</v>
      </c>
      <c r="AB1024" s="139" t="str">
        <f t="shared" si="1"/>
        <v>8171</v>
      </c>
      <c r="AC1024" s="141" t="str">
        <f t="shared" si="4"/>
        <v>新大榭工作室</v>
      </c>
      <c r="AD1024" s="139">
        <v>2021</v>
      </c>
      <c r="AE1024" s="138" t="str">
        <f t="shared" si="0"/>
        <v>8171新大榭工作室2021</v>
      </c>
      <c r="AF1024" s="139" t="s">
        <v>105</v>
      </c>
      <c r="AG1024" s="139" t="s">
        <v>59</v>
      </c>
      <c r="AH1024" s="139">
        <v>1</v>
      </c>
      <c r="AI1024" s="140">
        <v>73050</v>
      </c>
      <c r="AJ1024" s="141" t="s">
        <v>62</v>
      </c>
      <c r="AK1024" s="78"/>
    </row>
    <row r="1025" spans="25:37" ht="14.25" hidden="1">
      <c r="Y1025" s="78"/>
      <c r="AA1025" s="139">
        <v>25</v>
      </c>
      <c r="AB1025" s="139" t="str">
        <f t="shared" si="1"/>
        <v>8171</v>
      </c>
      <c r="AC1025" s="141" t="str">
        <f t="shared" si="4"/>
        <v>新大榭工作室</v>
      </c>
      <c r="AD1025" s="139">
        <v>2022</v>
      </c>
      <c r="AE1025" s="138" t="str">
        <f t="shared" si="0"/>
        <v>8171新大榭工作室2022</v>
      </c>
      <c r="AF1025" s="139" t="s">
        <v>105</v>
      </c>
      <c r="AG1025" s="139" t="s">
        <v>59</v>
      </c>
      <c r="AH1025" s="139">
        <v>1</v>
      </c>
      <c r="AI1025" s="140">
        <v>73050</v>
      </c>
      <c r="AJ1025" s="141" t="s">
        <v>62</v>
      </c>
      <c r="AK1025" s="78"/>
    </row>
    <row r="1026" spans="25:37" ht="14.25" hidden="1">
      <c r="Y1026" s="78"/>
      <c r="AA1026" s="139">
        <v>26</v>
      </c>
      <c r="AB1026" s="139" t="str">
        <f t="shared" si="1"/>
        <v>8171</v>
      </c>
      <c r="AC1026" s="141" t="str">
        <f t="shared" si="4"/>
        <v>新大榭工作室</v>
      </c>
      <c r="AD1026" s="139">
        <v>2023</v>
      </c>
      <c r="AE1026" s="138" t="str">
        <f t="shared" si="0"/>
        <v>8171新大榭工作室2023</v>
      </c>
      <c r="AF1026" s="139" t="s">
        <v>105</v>
      </c>
      <c r="AG1026" s="139" t="s">
        <v>59</v>
      </c>
      <c r="AH1026" s="139">
        <v>1</v>
      </c>
      <c r="AI1026" s="140">
        <v>73050</v>
      </c>
      <c r="AJ1026" s="141" t="s">
        <v>62</v>
      </c>
      <c r="AK1026" s="78"/>
    </row>
    <row r="1027" spans="25:37" ht="14.25" hidden="1">
      <c r="Y1027" s="78"/>
      <c r="AA1027" s="139">
        <v>27</v>
      </c>
      <c r="AB1027" s="139" t="str">
        <f t="shared" si="1"/>
        <v>8171</v>
      </c>
      <c r="AC1027" s="141" t="str">
        <f t="shared" si="4"/>
        <v>新大榭工作室</v>
      </c>
      <c r="AD1027" s="139">
        <v>2024</v>
      </c>
      <c r="AE1027" s="138" t="str">
        <f t="shared" si="0"/>
        <v>8171新大榭工作室2024</v>
      </c>
      <c r="AF1027" s="139" t="s">
        <v>105</v>
      </c>
      <c r="AG1027" s="139" t="s">
        <v>59</v>
      </c>
      <c r="AH1027" s="139">
        <v>1</v>
      </c>
      <c r="AI1027" s="140">
        <v>73050</v>
      </c>
      <c r="AJ1027" s="141" t="s">
        <v>62</v>
      </c>
      <c r="AK1027" s="78"/>
    </row>
    <row r="1028" spans="25:37" ht="14.25" hidden="1">
      <c r="Y1028" s="78"/>
      <c r="AA1028" s="139">
        <v>28</v>
      </c>
      <c r="AB1028" s="139" t="str">
        <f t="shared" si="1"/>
        <v>8171</v>
      </c>
      <c r="AC1028" s="141" t="str">
        <f t="shared" si="4"/>
        <v>新大榭工作室</v>
      </c>
      <c r="AD1028" s="139">
        <v>2025</v>
      </c>
      <c r="AE1028" s="138" t="str">
        <f t="shared" si="0"/>
        <v>8171新大榭工作室2025</v>
      </c>
      <c r="AF1028" s="139" t="s">
        <v>105</v>
      </c>
      <c r="AG1028" s="139" t="s">
        <v>59</v>
      </c>
      <c r="AH1028" s="139">
        <v>1</v>
      </c>
      <c r="AI1028" s="140">
        <v>73050</v>
      </c>
      <c r="AJ1028" s="141" t="s">
        <v>62</v>
      </c>
      <c r="AK1028" s="78"/>
    </row>
    <row r="1029" spans="25:37" ht="14.25" hidden="1">
      <c r="Y1029" s="78"/>
      <c r="AA1029" s="139">
        <v>29</v>
      </c>
      <c r="AB1029" s="139" t="str">
        <f t="shared" si="1"/>
        <v>8171</v>
      </c>
      <c r="AC1029" s="141" t="str">
        <f t="shared" si="4"/>
        <v>新大榭工作室</v>
      </c>
      <c r="AD1029" s="139">
        <v>2026</v>
      </c>
      <c r="AE1029" s="138" t="str">
        <f t="shared" si="0"/>
        <v>8171新大榭工作室2026</v>
      </c>
      <c r="AF1029" s="139" t="s">
        <v>105</v>
      </c>
      <c r="AG1029" s="139" t="s">
        <v>59</v>
      </c>
      <c r="AH1029" s="139">
        <v>1</v>
      </c>
      <c r="AI1029" s="140">
        <v>73050</v>
      </c>
      <c r="AJ1029" s="141" t="s">
        <v>62</v>
      </c>
      <c r="AK1029" s="78"/>
    </row>
    <row r="1030" spans="25:37" ht="14.25" hidden="1">
      <c r="Y1030" s="78"/>
      <c r="AA1030" s="139">
        <v>30</v>
      </c>
      <c r="AB1030" s="139" t="str">
        <f t="shared" si="1"/>
        <v>8171</v>
      </c>
      <c r="AC1030" s="141" t="str">
        <f t="shared" si="4"/>
        <v>新大榭工作室</v>
      </c>
      <c r="AD1030" s="139">
        <v>2027</v>
      </c>
      <c r="AE1030" s="138" t="str">
        <f t="shared" si="0"/>
        <v>8171新大榭工作室2027</v>
      </c>
      <c r="AF1030" s="139" t="s">
        <v>105</v>
      </c>
      <c r="AG1030" s="139" t="s">
        <v>59</v>
      </c>
      <c r="AH1030" s="139">
        <v>1</v>
      </c>
      <c r="AI1030" s="140">
        <v>73050</v>
      </c>
      <c r="AJ1030" s="141" t="s">
        <v>62</v>
      </c>
      <c r="AK1030" s="78"/>
    </row>
    <row r="1031" spans="25:37" ht="14.25" hidden="1">
      <c r="Y1031" s="78"/>
      <c r="AA1031" s="139">
        <v>31</v>
      </c>
      <c r="AB1031" s="139" t="str">
        <f t="shared" si="1"/>
        <v>8171</v>
      </c>
      <c r="AC1031" s="141" t="s">
        <v>107</v>
      </c>
      <c r="AD1031" s="139">
        <v>2018</v>
      </c>
      <c r="AE1031" s="138" t="str">
        <f t="shared" si="0"/>
        <v>8171宁波市集隆金属制品有限公司2018</v>
      </c>
      <c r="AF1031" s="139" t="s">
        <v>89</v>
      </c>
      <c r="AG1031" s="139" t="s">
        <v>64</v>
      </c>
      <c r="AH1031" s="139">
        <v>1</v>
      </c>
      <c r="AI1031" s="140">
        <v>46753</v>
      </c>
      <c r="AJ1031" s="141" t="s">
        <v>63</v>
      </c>
      <c r="AK1031" s="78"/>
    </row>
    <row r="1032" spans="25:37" ht="14.25" hidden="1">
      <c r="Y1032" s="78"/>
      <c r="AA1032" s="139">
        <v>32</v>
      </c>
      <c r="AB1032" s="139" t="str">
        <f t="shared" si="1"/>
        <v>8171</v>
      </c>
      <c r="AC1032" s="141" t="str">
        <f>$AC$1031</f>
        <v>宁波市集隆金属制品有限公司</v>
      </c>
      <c r="AD1032" s="139">
        <v>2019</v>
      </c>
      <c r="AE1032" s="138" t="str">
        <f t="shared" si="0"/>
        <v>8171宁波市集隆金属制品有限公司2019</v>
      </c>
      <c r="AF1032" s="139" t="s">
        <v>90</v>
      </c>
      <c r="AG1032" s="139" t="s">
        <v>64</v>
      </c>
      <c r="AH1032" s="139">
        <v>1</v>
      </c>
      <c r="AI1032" s="140">
        <v>46753</v>
      </c>
      <c r="AJ1032" s="141" t="s">
        <v>63</v>
      </c>
      <c r="AK1032" s="78"/>
    </row>
    <row r="1033" spans="25:37" ht="14.25" hidden="1">
      <c r="Y1033" s="78"/>
      <c r="AA1033" s="139">
        <v>33</v>
      </c>
      <c r="AB1033" s="139" t="str">
        <f t="shared" si="1"/>
        <v>8171</v>
      </c>
      <c r="AC1033" s="141" t="str">
        <f t="shared" ref="AC1033:AC1040" si="5">$AC$1031</f>
        <v>宁波市集隆金属制品有限公司</v>
      </c>
      <c r="AD1033" s="139">
        <v>2020</v>
      </c>
      <c r="AE1033" s="138" t="str">
        <f t="shared" si="0"/>
        <v>8171宁波市集隆金属制品有限公司2020</v>
      </c>
      <c r="AF1033" s="139" t="s">
        <v>91</v>
      </c>
      <c r="AG1033" s="139" t="s">
        <v>64</v>
      </c>
      <c r="AH1033" s="139">
        <v>1</v>
      </c>
      <c r="AI1033" s="140">
        <v>46753</v>
      </c>
      <c r="AJ1033" s="141" t="s">
        <v>65</v>
      </c>
      <c r="AK1033" s="78"/>
    </row>
    <row r="1034" spans="25:37" ht="14.25" hidden="1">
      <c r="Y1034" s="78"/>
      <c r="AA1034" s="139">
        <v>34</v>
      </c>
      <c r="AB1034" s="139" t="str">
        <f t="shared" si="1"/>
        <v>8171</v>
      </c>
      <c r="AC1034" s="141" t="str">
        <f t="shared" si="5"/>
        <v>宁波市集隆金属制品有限公司</v>
      </c>
      <c r="AD1034" s="139">
        <v>2021</v>
      </c>
      <c r="AE1034" s="138" t="str">
        <f t="shared" si="0"/>
        <v>8171宁波市集隆金属制品有限公司2021</v>
      </c>
      <c r="AF1034" s="139" t="s">
        <v>92</v>
      </c>
      <c r="AG1034" s="139" t="s">
        <v>64</v>
      </c>
      <c r="AH1034" s="139">
        <v>1</v>
      </c>
      <c r="AI1034" s="140">
        <v>46753</v>
      </c>
      <c r="AJ1034" s="141" t="s">
        <v>66</v>
      </c>
      <c r="AK1034" s="78"/>
    </row>
    <row r="1035" spans="25:37" ht="14.25" hidden="1">
      <c r="Y1035" s="78"/>
      <c r="AA1035" s="139">
        <v>35</v>
      </c>
      <c r="AB1035" s="139" t="str">
        <f t="shared" si="1"/>
        <v>8171</v>
      </c>
      <c r="AC1035" s="141" t="str">
        <f t="shared" si="5"/>
        <v>宁波市集隆金属制品有限公司</v>
      </c>
      <c r="AD1035" s="139">
        <v>2022</v>
      </c>
      <c r="AE1035" s="138" t="str">
        <f t="shared" si="0"/>
        <v>8171宁波市集隆金属制品有限公司2022</v>
      </c>
      <c r="AF1035" s="139" t="s">
        <v>93</v>
      </c>
      <c r="AG1035" s="139" t="s">
        <v>64</v>
      </c>
      <c r="AH1035" s="139">
        <v>1</v>
      </c>
      <c r="AI1035" s="140">
        <v>46753</v>
      </c>
      <c r="AJ1035" s="141" t="s">
        <v>67</v>
      </c>
      <c r="AK1035" s="78"/>
    </row>
    <row r="1036" spans="25:37" ht="14.25" hidden="1">
      <c r="Y1036" s="78"/>
      <c r="AA1036" s="139">
        <v>36</v>
      </c>
      <c r="AB1036" s="139" t="str">
        <f t="shared" si="1"/>
        <v>8171</v>
      </c>
      <c r="AC1036" s="141" t="str">
        <f t="shared" si="5"/>
        <v>宁波市集隆金属制品有限公司</v>
      </c>
      <c r="AD1036" s="139">
        <v>2023</v>
      </c>
      <c r="AE1036" s="138" t="str">
        <f t="shared" si="0"/>
        <v>8171宁波市集隆金属制品有限公司2023</v>
      </c>
      <c r="AF1036" s="139" t="s">
        <v>94</v>
      </c>
      <c r="AG1036" s="139" t="s">
        <v>64</v>
      </c>
      <c r="AH1036" s="139">
        <v>1</v>
      </c>
      <c r="AI1036" s="140">
        <v>46753</v>
      </c>
      <c r="AJ1036" s="141" t="s">
        <v>67</v>
      </c>
      <c r="AK1036" s="78"/>
    </row>
    <row r="1037" spans="25:37" ht="14.25" hidden="1">
      <c r="Y1037" s="78"/>
      <c r="AA1037" s="139">
        <v>37</v>
      </c>
      <c r="AB1037" s="139" t="str">
        <f t="shared" si="1"/>
        <v>8171</v>
      </c>
      <c r="AC1037" s="141" t="str">
        <f t="shared" si="5"/>
        <v>宁波市集隆金属制品有限公司</v>
      </c>
      <c r="AD1037" s="139">
        <v>2024</v>
      </c>
      <c r="AE1037" s="138" t="str">
        <f t="shared" si="0"/>
        <v>8171宁波市集隆金属制品有限公司2024</v>
      </c>
      <c r="AF1037" s="139" t="s">
        <v>95</v>
      </c>
      <c r="AG1037" s="139" t="s">
        <v>64</v>
      </c>
      <c r="AH1037" s="139">
        <v>1</v>
      </c>
      <c r="AI1037" s="140">
        <v>46753</v>
      </c>
      <c r="AJ1037" s="141" t="s">
        <v>67</v>
      </c>
      <c r="AK1037" s="78"/>
    </row>
    <row r="1038" spans="25:37" ht="14.25" hidden="1">
      <c r="Y1038" s="78"/>
      <c r="AA1038" s="139">
        <v>38</v>
      </c>
      <c r="AB1038" s="139" t="str">
        <f t="shared" si="1"/>
        <v>8171</v>
      </c>
      <c r="AC1038" s="141" t="str">
        <f t="shared" si="5"/>
        <v>宁波市集隆金属制品有限公司</v>
      </c>
      <c r="AD1038" s="139">
        <v>2025</v>
      </c>
      <c r="AE1038" s="138" t="str">
        <f t="shared" si="0"/>
        <v>8171宁波市集隆金属制品有限公司2025</v>
      </c>
      <c r="AF1038" s="139" t="s">
        <v>96</v>
      </c>
      <c r="AG1038" s="139" t="s">
        <v>64</v>
      </c>
      <c r="AH1038" s="139">
        <v>1</v>
      </c>
      <c r="AI1038" s="140">
        <v>46753</v>
      </c>
      <c r="AJ1038" s="141" t="s">
        <v>67</v>
      </c>
      <c r="AK1038" s="78"/>
    </row>
    <row r="1039" spans="25:37" ht="14.25" hidden="1">
      <c r="Y1039" s="78"/>
      <c r="AA1039" s="139">
        <v>39</v>
      </c>
      <c r="AB1039" s="139" t="str">
        <f t="shared" si="1"/>
        <v>8171</v>
      </c>
      <c r="AC1039" s="141" t="str">
        <f t="shared" si="5"/>
        <v>宁波市集隆金属制品有限公司</v>
      </c>
      <c r="AD1039" s="139">
        <v>2026</v>
      </c>
      <c r="AE1039" s="138" t="str">
        <f t="shared" si="0"/>
        <v>8171宁波市集隆金属制品有限公司2026</v>
      </c>
      <c r="AF1039" s="139" t="s">
        <v>97</v>
      </c>
      <c r="AG1039" s="139" t="s">
        <v>64</v>
      </c>
      <c r="AH1039" s="139">
        <v>1</v>
      </c>
      <c r="AI1039" s="140">
        <v>46753</v>
      </c>
      <c r="AJ1039" s="141" t="s">
        <v>67</v>
      </c>
      <c r="AK1039" s="78"/>
    </row>
    <row r="1040" spans="25:37" ht="14.25" hidden="1">
      <c r="Y1040" s="78"/>
      <c r="AA1040" s="139">
        <v>40</v>
      </c>
      <c r="AB1040" s="139" t="str">
        <f t="shared" si="1"/>
        <v>8171</v>
      </c>
      <c r="AC1040" s="141" t="str">
        <f t="shared" si="5"/>
        <v>宁波市集隆金属制品有限公司</v>
      </c>
      <c r="AD1040" s="139">
        <v>2027</v>
      </c>
      <c r="AE1040" s="138" t="str">
        <f t="shared" si="0"/>
        <v>8171宁波市集隆金属制品有限公司2027</v>
      </c>
      <c r="AF1040" s="139" t="s">
        <v>98</v>
      </c>
      <c r="AG1040" s="139" t="s">
        <v>64</v>
      </c>
      <c r="AH1040" s="139">
        <v>1</v>
      </c>
      <c r="AI1040" s="140">
        <v>46753</v>
      </c>
      <c r="AJ1040" s="141" t="s">
        <v>67</v>
      </c>
      <c r="AK1040" s="78"/>
    </row>
    <row r="1041" spans="25:37" ht="12" hidden="1" customHeight="1">
      <c r="Y1041" s="78"/>
      <c r="AI1041" s="140"/>
      <c r="AK1041" s="78"/>
    </row>
    <row r="1042" spans="25:37" ht="12" hidden="1" customHeight="1">
      <c r="Y1042" s="78"/>
      <c r="Z1042" s="77"/>
      <c r="AA1042" s="138"/>
      <c r="AB1042" s="138"/>
      <c r="AC1042" s="138"/>
      <c r="AD1042" s="138"/>
      <c r="AE1042" s="138"/>
      <c r="AF1042" s="138"/>
      <c r="AG1042" s="138"/>
      <c r="AH1042" s="138"/>
      <c r="AI1042" s="138"/>
      <c r="AJ1042" s="138"/>
      <c r="AK1042" s="77"/>
    </row>
    <row r="1043" spans="25:37" ht="14.25" hidden="1">
      <c r="Y1043" s="78"/>
    </row>
    <row r="1044" spans="25:37" ht="14.25" hidden="1">
      <c r="Y1044" s="78"/>
    </row>
  </sheetData>
  <sheetProtection password="926F" sheet="1" objects="1" scenarios="1" selectLockedCells="1" selectUnlockedCells="1"/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BC151"/>
  <sheetViews>
    <sheetView showGridLines="0" showRowColHeaders="0" tabSelected="1" workbookViewId="0">
      <selection activeCell="M33" sqref="M33"/>
    </sheetView>
  </sheetViews>
  <sheetFormatPr defaultColWidth="0" defaultRowHeight="14.25" zeroHeight="1"/>
  <cols>
    <col min="1" max="2" width="0.75" style="5" customWidth="1"/>
    <col min="3" max="3" width="8.75" style="1" customWidth="1"/>
    <col min="4" max="4" width="0.875" style="1" customWidth="1"/>
    <col min="5" max="5" width="10.75" style="5" customWidth="1"/>
    <col min="6" max="6" width="7" style="5" customWidth="1"/>
    <col min="7" max="7" width="5.25" style="5" customWidth="1"/>
    <col min="8" max="8" width="3.375" style="5" customWidth="1"/>
    <col min="9" max="9" width="5.625" style="5" customWidth="1"/>
    <col min="10" max="11" width="0.75" style="5" customWidth="1"/>
    <col min="12" max="12" width="3.25" style="5" hidden="1" customWidth="1"/>
    <col min="13" max="13" width="4.625" style="5" hidden="1" customWidth="1"/>
    <col min="14" max="14" width="11.625" style="19" hidden="1" customWidth="1"/>
    <col min="15" max="17" width="7.75" style="19" hidden="1" customWidth="1"/>
    <col min="18" max="18" width="1.75" style="1" hidden="1" customWidth="1"/>
    <col min="19" max="21" width="7.75" style="5" hidden="1" customWidth="1"/>
    <col min="22" max="22" width="12.5" style="1" hidden="1" customWidth="1"/>
    <col min="23" max="25" width="7.75" style="5" hidden="1" customWidth="1"/>
    <col min="26" max="26" width="8.25" style="1" hidden="1" customWidth="1"/>
    <col min="27" max="27" width="18.125" style="10" hidden="1" customWidth="1"/>
    <col min="28" max="28" width="17.875" style="10" hidden="1" customWidth="1"/>
    <col min="29" max="29" width="18.625" style="10" hidden="1" customWidth="1"/>
    <col min="30" max="30" width="10.5" style="10" hidden="1" customWidth="1"/>
    <col min="31" max="31" width="10" style="10" hidden="1" customWidth="1"/>
    <col min="32" max="34" width="7.375" style="10" hidden="1" customWidth="1"/>
    <col min="35" max="35" width="3.375" style="5" hidden="1" customWidth="1"/>
    <col min="36" max="53" width="4.125" style="5" hidden="1" customWidth="1"/>
    <col min="54" max="54" width="9.125" style="5" hidden="1" customWidth="1"/>
    <col min="55" max="55" width="3" style="5" hidden="1" customWidth="1"/>
    <col min="56" max="56" width="4.125" style="5" hidden="1" customWidth="1"/>
    <col min="57" max="16384" width="4.125" style="5" hidden="1"/>
  </cols>
  <sheetData>
    <row r="1" spans="1:54" ht="5.25" customHeight="1">
      <c r="A1" s="3">
        <f ca="1">IF(AND(E28-AC18=0,AA22&gt;0)=TRUE,1,0)</f>
        <v>0</v>
      </c>
      <c r="B1" s="3"/>
      <c r="C1" s="4"/>
      <c r="D1" s="4"/>
      <c r="E1" s="3"/>
      <c r="F1" s="3"/>
      <c r="G1" s="3"/>
      <c r="H1" s="3"/>
      <c r="I1" s="3"/>
      <c r="J1" s="3"/>
      <c r="K1" s="3"/>
    </row>
    <row r="2" spans="1:54" ht="4.5" customHeight="1" thickBot="1">
      <c r="A2" s="3"/>
      <c r="B2" s="9"/>
      <c r="C2" s="9"/>
      <c r="D2" s="9"/>
      <c r="E2" s="9"/>
      <c r="F2" s="9"/>
      <c r="G2" s="9"/>
      <c r="H2" s="9"/>
      <c r="I2" s="9"/>
      <c r="J2" s="9"/>
      <c r="K2" s="3"/>
      <c r="L2" s="9"/>
      <c r="M2" s="9"/>
      <c r="N2" s="8"/>
      <c r="O2" s="8"/>
      <c r="P2" s="8"/>
      <c r="Q2" s="8"/>
      <c r="R2" s="20"/>
      <c r="S2" s="9"/>
      <c r="T2" s="9"/>
      <c r="U2" s="9"/>
      <c r="V2" s="20"/>
      <c r="W2" s="9"/>
      <c r="X2" s="9"/>
      <c r="Y2" s="9"/>
      <c r="Z2" s="20"/>
      <c r="AA2" s="9"/>
      <c r="AB2" s="9"/>
      <c r="AC2" s="9"/>
      <c r="AD2" s="9"/>
      <c r="AE2" s="9"/>
      <c r="AF2" s="9"/>
      <c r="AG2" s="9"/>
    </row>
    <row r="3" spans="1:54" ht="26.25" customHeight="1">
      <c r="A3" s="3"/>
      <c r="B3" s="9"/>
      <c r="C3" s="283"/>
      <c r="D3" s="284"/>
      <c r="E3" s="284"/>
      <c r="F3" s="284"/>
      <c r="G3" s="284"/>
      <c r="H3" s="284"/>
      <c r="I3" s="285"/>
      <c r="J3" s="9"/>
      <c r="K3" s="3"/>
      <c r="L3" s="9"/>
      <c r="M3" s="9"/>
      <c r="N3" s="8"/>
      <c r="O3" s="8"/>
      <c r="P3" s="8"/>
      <c r="Q3" s="8"/>
      <c r="R3" s="20"/>
      <c r="S3" s="9"/>
      <c r="T3" s="9"/>
      <c r="U3" s="9"/>
      <c r="V3" s="20"/>
      <c r="W3" s="9"/>
      <c r="X3" s="9"/>
      <c r="Y3" s="9"/>
      <c r="Z3" s="172">
        <f ca="1">IF(AND(A1=1,AA3=1)=TRUE,1,IF(AND(A1=1,AA3=0)=TRUE,1,IF(AND(A1=1,AA3=-1)=TRUE,1,IF(AND(A1=0,AA3=1)=TRUE,1,IF(AND(A1=0,AA3=0)=TRUE,0,-1)))))</f>
        <v>1</v>
      </c>
      <c r="AA3" s="160">
        <f ca="1">IF(AND(AB4=1,AD4=1)=TRUE,1,IF(AND(AB4=1,AD4=0)=TRUE,0,-1))</f>
        <v>1</v>
      </c>
      <c r="AB3" s="142" t="s">
        <v>108</v>
      </c>
      <c r="AC3" s="21" t="s">
        <v>123</v>
      </c>
      <c r="AD3" s="119" t="str">
        <f>LEFT(E4,4)</f>
        <v>8171</v>
      </c>
      <c r="BB3" s="22" t="str">
        <f ca="1">IF(AA3&lt;&gt;1,"软件未注册","")</f>
        <v/>
      </c>
    </row>
    <row r="4" spans="1:54" s="2" customFormat="1" ht="18" customHeight="1" thickBot="1">
      <c r="A4" s="12"/>
      <c r="B4" s="9"/>
      <c r="C4" s="16" t="s">
        <v>1</v>
      </c>
      <c r="D4" s="13"/>
      <c r="E4" s="288" t="s">
        <v>119</v>
      </c>
      <c r="F4" s="288"/>
      <c r="G4" s="288"/>
      <c r="H4" s="288"/>
      <c r="I4" s="23"/>
      <c r="J4" s="9"/>
      <c r="K4" s="12"/>
      <c r="M4" s="15"/>
      <c r="N4" s="24"/>
      <c r="O4" s="24"/>
      <c r="P4" s="24"/>
      <c r="Q4" s="24"/>
      <c r="R4" s="25"/>
      <c r="S4" s="15"/>
      <c r="T4" s="15"/>
      <c r="U4" s="15"/>
      <c r="V4" s="25"/>
      <c r="W4" s="15"/>
      <c r="X4" s="25"/>
      <c r="Y4" s="15"/>
      <c r="Z4" s="170" t="str">
        <f ca="1">IF(AA3=1,AC4,IF(AND(A1=1,AA3&lt;&gt;1)=TRUE,"体验版","未授权"))</f>
        <v>免费版</v>
      </c>
      <c r="AA4" s="171">
        <f ca="1">MIN(AA25:AA27)</f>
        <v>27973</v>
      </c>
      <c r="AB4" s="169">
        <f ca="1">IF(AA4&gt;0,1,0)</f>
        <v>1</v>
      </c>
      <c r="AC4" s="27" t="str">
        <f>AB22</f>
        <v>免费版</v>
      </c>
      <c r="AD4" s="28">
        <f>IF(OR(AC4="定制版",AC4="商业版",AC4="共享版",AC4="企业版",AC4="注册版",AC4="友情版",AC4="免费版")=TRUE,1,IF(AC4="试用版",0,-1))</f>
        <v>1</v>
      </c>
      <c r="AE4" s="10"/>
      <c r="AF4" s="10"/>
      <c r="AG4" s="10"/>
      <c r="AH4" s="10"/>
      <c r="BB4" s="29" t="str">
        <f>IF(AD4=0,"试用版","")</f>
        <v/>
      </c>
    </row>
    <row r="5" spans="1:54" s="2" customFormat="1" ht="18" customHeight="1" thickBot="1">
      <c r="A5" s="12"/>
      <c r="B5" s="9"/>
      <c r="C5" s="16" t="s">
        <v>2</v>
      </c>
      <c r="D5" s="13"/>
      <c r="E5" s="289" t="s">
        <v>156</v>
      </c>
      <c r="F5" s="289"/>
      <c r="G5" s="289"/>
      <c r="H5" s="289"/>
      <c r="I5" s="290"/>
      <c r="J5" s="9"/>
      <c r="K5" s="12"/>
      <c r="L5" s="15"/>
      <c r="M5" s="15"/>
      <c r="N5" s="24"/>
      <c r="O5" s="24"/>
      <c r="P5" s="24"/>
      <c r="Q5" s="24"/>
      <c r="R5" s="25"/>
      <c r="S5" s="15"/>
      <c r="T5" s="15"/>
      <c r="U5" s="15"/>
      <c r="V5" s="25"/>
      <c r="W5" s="15"/>
      <c r="X5" s="15"/>
      <c r="Y5" s="15"/>
      <c r="Z5" s="25"/>
      <c r="AA5" s="15"/>
      <c r="AB5" s="15"/>
      <c r="AC5" s="15"/>
      <c r="AD5" s="15"/>
      <c r="AE5" s="15"/>
      <c r="AF5" s="10"/>
      <c r="AG5" s="10"/>
      <c r="AH5" s="10"/>
    </row>
    <row r="6" spans="1:54" s="2" customFormat="1" ht="18" customHeight="1">
      <c r="A6" s="12"/>
      <c r="B6" s="9"/>
      <c r="C6" s="110" t="s">
        <v>73</v>
      </c>
      <c r="D6" s="13"/>
      <c r="E6" s="288" t="s">
        <v>120</v>
      </c>
      <c r="F6" s="288"/>
      <c r="G6" s="291" t="str">
        <f ca="1">IF(E7&lt;&gt;"","",IF(AA25&lt;30,"版本查询 →",IF(AA26&lt;30,"版本查询 →","")))</f>
        <v/>
      </c>
      <c r="H6" s="291"/>
      <c r="I6" s="23"/>
      <c r="J6" s="9"/>
      <c r="K6" s="12"/>
      <c r="L6" s="15"/>
      <c r="M6" s="15"/>
      <c r="N6" s="24"/>
      <c r="O6" s="24"/>
      <c r="P6" s="24"/>
      <c r="Q6" s="24"/>
      <c r="R6" s="25"/>
      <c r="S6" s="15"/>
      <c r="T6" s="15"/>
      <c r="U6" s="15"/>
      <c r="V6" s="25"/>
      <c r="W6" s="15"/>
      <c r="X6" s="15"/>
      <c r="Y6" s="15"/>
      <c r="Z6" s="25"/>
      <c r="AA6" s="30" t="str">
        <f>E6</f>
        <v>Free V2.1.23.0504</v>
      </c>
      <c r="AB6" s="31" t="str">
        <f>RIGHTB(E6,11)</f>
        <v>2.1.23.0504</v>
      </c>
      <c r="AC6" s="31" t="str">
        <f>SUBSTITUTE(AB6,".",0)</f>
        <v>20102300504</v>
      </c>
      <c r="AD6" s="113" t="str">
        <f>IF(AA7="","待查询",IF(AD8="","稳定版",IF(AD8="Old","尝鲜版","旧版本")))</f>
        <v>待查询</v>
      </c>
      <c r="AE6" s="112"/>
      <c r="AF6" s="10"/>
      <c r="AG6" s="10"/>
      <c r="AH6" s="10"/>
    </row>
    <row r="7" spans="1:54" s="2" customFormat="1" ht="18" customHeight="1">
      <c r="A7" s="12"/>
      <c r="B7" s="9"/>
      <c r="C7" s="111" t="s">
        <v>72</v>
      </c>
      <c r="D7" s="114"/>
      <c r="E7" s="279" t="str">
        <f>IF(AA7="","",AA7)</f>
        <v/>
      </c>
      <c r="F7" s="279"/>
      <c r="G7" s="115"/>
      <c r="H7" s="116"/>
      <c r="I7" s="14"/>
      <c r="J7" s="9"/>
      <c r="K7" s="12"/>
      <c r="L7" s="15"/>
      <c r="M7" s="15"/>
      <c r="N7" s="24"/>
      <c r="O7" s="24"/>
      <c r="P7" s="24"/>
      <c r="Q7" s="24"/>
      <c r="R7" s="25"/>
      <c r="S7" s="15"/>
      <c r="T7" s="15"/>
      <c r="U7" s="15"/>
      <c r="V7" s="25"/>
      <c r="W7" s="15"/>
      <c r="X7" s="15"/>
      <c r="Y7" s="15"/>
      <c r="Z7" s="25"/>
      <c r="AA7" s="32"/>
      <c r="AB7" s="33" t="str">
        <f>RIGHTB(E7,11)</f>
        <v/>
      </c>
      <c r="AC7" s="33" t="str">
        <f>SUBSTITUTE(AB7,".",0)</f>
        <v/>
      </c>
      <c r="AD7" s="34" t="s">
        <v>0</v>
      </c>
      <c r="AE7" s="10"/>
      <c r="AF7" s="10"/>
      <c r="AG7" s="10"/>
      <c r="AH7" s="10"/>
    </row>
    <row r="8" spans="1:54" s="2" customFormat="1" ht="18" customHeight="1" thickBot="1">
      <c r="A8" s="12"/>
      <c r="B8" s="9"/>
      <c r="C8" s="280" t="str">
        <f>IF(AA7="","   小提示:保持良好习惯,建议每月进行1次版本查询!",IF(EXACT(E6,E7)=TRUE,"    恭喜您！当前使用的软件为新大榭官方最新版本！",IF(AC8="Old","   Sorry！新大榭云端数据库尚未更新，请稍后查询！","   官方发布新版本了,建议点击上方按钮下载更新 ↑")))</f>
        <v xml:space="preserve">   小提示:保持良好习惯,建议每月进行1次版本查询!</v>
      </c>
      <c r="D8" s="281"/>
      <c r="E8" s="281"/>
      <c r="F8" s="281"/>
      <c r="G8" s="281"/>
      <c r="H8" s="281"/>
      <c r="I8" s="282"/>
      <c r="J8" s="9"/>
      <c r="K8" s="12"/>
      <c r="L8" s="15"/>
      <c r="M8" s="15"/>
      <c r="N8" s="24"/>
      <c r="O8" s="24"/>
      <c r="P8" s="24"/>
      <c r="Q8" s="24"/>
      <c r="R8" s="25"/>
      <c r="S8" s="15"/>
      <c r="T8" s="15"/>
      <c r="U8" s="15"/>
      <c r="V8" s="25"/>
      <c r="W8" s="15"/>
      <c r="X8" s="15"/>
      <c r="Y8" s="15"/>
      <c r="Z8" s="25"/>
      <c r="AA8" s="26" t="str">
        <f>IF(AA7="","",IF(EXACT(E6,E7)=TRUE,"","NEW"))</f>
        <v/>
      </c>
      <c r="AB8" s="27" t="str">
        <f>IF(AA7="","",IF(EXACT(E6,E7)=TRUE,"",IF(AB7&gt;AB6,"NEW","")))</f>
        <v/>
      </c>
      <c r="AC8" s="27" t="str">
        <f>IF(AC7&gt;AC6,"NEW",IF(AC7=AC6,"",IF(AC7&lt;AC6,"Old","")))</f>
        <v>Old</v>
      </c>
      <c r="AD8" s="28" t="str">
        <f>IF(AA7="","",AC8)</f>
        <v/>
      </c>
      <c r="AE8" s="10"/>
      <c r="AF8" s="10"/>
      <c r="AG8" s="10"/>
      <c r="AH8" s="10"/>
    </row>
    <row r="9" spans="1:54" ht="3.75" customHeight="1" thickBot="1">
      <c r="A9" s="3"/>
      <c r="B9" s="9"/>
      <c r="C9" s="9"/>
      <c r="D9" s="9"/>
      <c r="E9" s="9"/>
      <c r="F9" s="9"/>
      <c r="G9" s="9"/>
      <c r="H9" s="9"/>
      <c r="I9" s="9"/>
      <c r="J9" s="9"/>
      <c r="K9" s="12"/>
      <c r="L9" s="9"/>
      <c r="M9" s="9"/>
      <c r="N9" s="8"/>
      <c r="O9" s="8"/>
      <c r="P9" s="8"/>
      <c r="Q9" s="8"/>
      <c r="R9" s="20"/>
      <c r="S9" s="9"/>
      <c r="T9" s="9"/>
      <c r="U9" s="9"/>
      <c r="V9" s="20"/>
      <c r="W9" s="9"/>
      <c r="X9" s="9"/>
      <c r="Y9" s="9"/>
      <c r="Z9" s="20"/>
    </row>
    <row r="10" spans="1:54" s="2" customFormat="1" ht="26.25" customHeight="1">
      <c r="A10" s="12"/>
      <c r="B10" s="9"/>
      <c r="C10" s="283" t="s">
        <v>3</v>
      </c>
      <c r="D10" s="284"/>
      <c r="E10" s="284"/>
      <c r="F10" s="284"/>
      <c r="G10" s="284"/>
      <c r="H10" s="284"/>
      <c r="I10" s="285"/>
      <c r="J10" s="9"/>
      <c r="K10" s="12"/>
      <c r="L10" s="15"/>
      <c r="M10" s="15"/>
      <c r="N10" s="24"/>
      <c r="O10" s="24"/>
      <c r="P10" s="24"/>
      <c r="Q10" s="24"/>
      <c r="R10" s="25"/>
      <c r="S10" s="15"/>
      <c r="T10" s="15"/>
      <c r="U10" s="15"/>
      <c r="V10" s="25"/>
      <c r="W10" s="15"/>
      <c r="X10" s="15"/>
      <c r="Y10" s="15"/>
      <c r="Z10" s="286" t="s">
        <v>4</v>
      </c>
      <c r="AA10" s="287"/>
      <c r="AB10" s="178"/>
      <c r="AC10" s="174"/>
      <c r="AD10" s="183" t="s">
        <v>110</v>
      </c>
      <c r="AE10" s="10"/>
      <c r="AF10" s="10"/>
      <c r="AG10" s="10"/>
      <c r="AH10" s="10"/>
    </row>
    <row r="11" spans="1:54" s="2" customFormat="1" ht="18" customHeight="1">
      <c r="A11" s="12"/>
      <c r="B11" s="9"/>
      <c r="C11" s="16" t="s">
        <v>5</v>
      </c>
      <c r="D11" s="13"/>
      <c r="E11" s="252" t="s">
        <v>79</v>
      </c>
      <c r="F11" s="253"/>
      <c r="G11" s="253"/>
      <c r="H11" s="253"/>
      <c r="I11" s="14"/>
      <c r="J11" s="9"/>
      <c r="K11" s="12"/>
      <c r="L11" s="15"/>
      <c r="M11" s="15"/>
      <c r="N11" s="24"/>
      <c r="O11" s="24"/>
      <c r="P11" s="24"/>
      <c r="Q11" s="24"/>
      <c r="R11" s="25"/>
      <c r="S11" s="15"/>
      <c r="T11" s="15"/>
      <c r="U11" s="15"/>
      <c r="V11" s="25"/>
      <c r="W11" s="15"/>
      <c r="X11" s="15"/>
      <c r="Y11" s="15"/>
      <c r="Z11" s="161"/>
      <c r="AA11" s="167" t="s">
        <v>6</v>
      </c>
      <c r="AB11" s="175" t="s">
        <v>111</v>
      </c>
      <c r="AC11" s="179"/>
      <c r="AD11" s="181">
        <v>1</v>
      </c>
      <c r="AE11" s="10"/>
      <c r="AF11" s="10"/>
      <c r="AG11" s="10"/>
      <c r="AH11" s="10"/>
    </row>
    <row r="12" spans="1:54" s="2" customFormat="1" ht="18" customHeight="1">
      <c r="A12" s="12"/>
      <c r="B12" s="9"/>
      <c r="C12" s="16" t="s">
        <v>7</v>
      </c>
      <c r="D12" s="13"/>
      <c r="E12" s="266" t="s">
        <v>8</v>
      </c>
      <c r="F12" s="266"/>
      <c r="G12" s="266"/>
      <c r="H12" s="266"/>
      <c r="I12" s="14"/>
      <c r="J12" s="9"/>
      <c r="K12" s="12"/>
      <c r="L12" s="15"/>
      <c r="M12" s="15"/>
      <c r="N12" s="24"/>
      <c r="O12" s="24"/>
      <c r="P12" s="24"/>
      <c r="Q12" s="24"/>
      <c r="R12" s="25"/>
      <c r="S12" s="15"/>
      <c r="T12" s="15"/>
      <c r="U12" s="15"/>
      <c r="V12" s="25"/>
      <c r="W12" s="15"/>
      <c r="X12" s="15"/>
      <c r="Y12" s="15"/>
      <c r="Z12" s="162">
        <f>E30</f>
        <v>2023</v>
      </c>
      <c r="AA12" s="167" t="s">
        <v>9</v>
      </c>
      <c r="AB12" s="176" t="s">
        <v>111</v>
      </c>
      <c r="AC12" s="180"/>
      <c r="AD12" s="181">
        <v>2</v>
      </c>
      <c r="AE12" s="10"/>
      <c r="AF12" s="10"/>
      <c r="AG12" s="10"/>
      <c r="AH12" s="10"/>
    </row>
    <row r="13" spans="1:54" s="2" customFormat="1" ht="18" customHeight="1">
      <c r="A13" s="12"/>
      <c r="B13" s="9"/>
      <c r="C13" s="16" t="s">
        <v>10</v>
      </c>
      <c r="D13" s="7"/>
      <c r="E13" s="267" t="s">
        <v>70</v>
      </c>
      <c r="F13" s="267"/>
      <c r="G13" s="267"/>
      <c r="H13" s="267"/>
      <c r="I13" s="118"/>
      <c r="J13" s="9"/>
      <c r="K13" s="12"/>
      <c r="L13" s="15"/>
      <c r="M13" s="15"/>
      <c r="N13" s="24"/>
      <c r="O13" s="24"/>
      <c r="P13" s="24"/>
      <c r="Q13" s="24"/>
      <c r="R13" s="25"/>
      <c r="S13" s="15"/>
      <c r="T13" s="15"/>
      <c r="U13" s="15"/>
      <c r="V13" s="25"/>
      <c r="W13" s="15"/>
      <c r="X13" s="15"/>
      <c r="Y13" s="15"/>
      <c r="Z13" s="163">
        <v>2021</v>
      </c>
      <c r="AA13" s="167" t="s">
        <v>11</v>
      </c>
      <c r="AB13" s="177" t="s">
        <v>112</v>
      </c>
      <c r="AC13" s="180" t="str">
        <f>LEFT(RIGHT(AB13,12),6)</f>
        <v>546927</v>
      </c>
      <c r="AD13" s="181">
        <v>3</v>
      </c>
      <c r="AE13" s="10"/>
      <c r="AF13" s="10"/>
      <c r="AG13" s="10"/>
      <c r="AH13" s="10"/>
    </row>
    <row r="14" spans="1:54" s="2" customFormat="1" ht="18" customHeight="1">
      <c r="A14" s="12"/>
      <c r="B14" s="9"/>
      <c r="C14" s="117" t="s">
        <v>74</v>
      </c>
      <c r="D14" s="17"/>
      <c r="E14" s="269" t="s">
        <v>75</v>
      </c>
      <c r="F14" s="269"/>
      <c r="G14" s="269"/>
      <c r="H14" s="269"/>
      <c r="I14" s="14"/>
      <c r="J14" s="9"/>
      <c r="K14" s="12"/>
      <c r="L14" s="15"/>
      <c r="M14" s="15"/>
      <c r="N14" s="24"/>
      <c r="O14" s="24"/>
      <c r="P14" s="24"/>
      <c r="Q14" s="24"/>
      <c r="R14" s="25"/>
      <c r="S14" s="15"/>
      <c r="T14" s="15"/>
      <c r="U14" s="15"/>
      <c r="V14" s="25"/>
      <c r="W14" s="15"/>
      <c r="X14" s="15"/>
      <c r="Y14" s="15"/>
      <c r="Z14" s="164">
        <v>2022</v>
      </c>
      <c r="AA14" s="167" t="s">
        <v>13</v>
      </c>
      <c r="AB14" s="177" t="s">
        <v>113</v>
      </c>
      <c r="AC14" s="180" t="str">
        <f>LEFT(RIGHT(AB14,12),6)</f>
        <v>763422</v>
      </c>
      <c r="AD14" s="181">
        <v>4</v>
      </c>
      <c r="AE14" s="10"/>
      <c r="AF14" s="10"/>
      <c r="AG14" s="10"/>
      <c r="AH14" s="10"/>
    </row>
    <row r="15" spans="1:54" s="2" customFormat="1" ht="18" customHeight="1">
      <c r="A15" s="12"/>
      <c r="B15" s="9"/>
      <c r="C15" s="16" t="s">
        <v>12</v>
      </c>
      <c r="D15" s="13"/>
      <c r="E15" s="268" t="s">
        <v>100</v>
      </c>
      <c r="F15" s="268"/>
      <c r="G15" s="268"/>
      <c r="H15" s="268"/>
      <c r="I15" s="14"/>
      <c r="J15" s="9"/>
      <c r="K15" s="12"/>
      <c r="L15" s="15"/>
      <c r="M15" s="15"/>
      <c r="N15" s="24"/>
      <c r="O15" s="24"/>
      <c r="P15" s="24"/>
      <c r="Q15" s="24"/>
      <c r="R15" s="25"/>
      <c r="S15" s="15"/>
      <c r="T15" s="15"/>
      <c r="U15" s="15"/>
      <c r="V15" s="25"/>
      <c r="W15" s="15"/>
      <c r="X15" s="15"/>
      <c r="Y15" s="15"/>
      <c r="Z15" s="165">
        <v>2023</v>
      </c>
      <c r="AA15" s="167" t="s">
        <v>13</v>
      </c>
      <c r="AB15" s="177" t="s">
        <v>114</v>
      </c>
      <c r="AC15" s="180" t="str">
        <f>LEFT(RIGHT(AB15,12),6)</f>
        <v>748596</v>
      </c>
      <c r="AD15" s="181">
        <v>5</v>
      </c>
      <c r="AE15" s="10"/>
      <c r="AF15" s="10"/>
      <c r="AG15" s="10"/>
      <c r="AH15" s="10"/>
    </row>
    <row r="16" spans="1:54" s="2" customFormat="1" ht="18" customHeight="1">
      <c r="A16" s="12"/>
      <c r="B16" s="9"/>
      <c r="C16" s="110" t="s">
        <v>68</v>
      </c>
      <c r="D16" s="13"/>
      <c r="E16" s="272" t="s">
        <v>76</v>
      </c>
      <c r="F16" s="268"/>
      <c r="G16" s="268"/>
      <c r="H16" s="268"/>
      <c r="I16" s="14"/>
      <c r="J16" s="9"/>
      <c r="K16" s="12"/>
      <c r="L16" s="15"/>
      <c r="M16" s="15"/>
      <c r="N16" s="24"/>
      <c r="O16" s="24"/>
      <c r="P16" s="24"/>
      <c r="Q16" s="24"/>
      <c r="R16" s="25"/>
      <c r="S16" s="15"/>
      <c r="T16" s="15"/>
      <c r="U16" s="15"/>
      <c r="V16" s="25"/>
      <c r="W16" s="15"/>
      <c r="X16" s="15"/>
      <c r="Y16" s="15"/>
      <c r="Z16" s="166">
        <v>2024</v>
      </c>
      <c r="AA16" s="167" t="s">
        <v>15</v>
      </c>
      <c r="AB16" s="177" t="s">
        <v>115</v>
      </c>
      <c r="AC16" s="180" t="str">
        <f>LEFT(RIGHT(AB16,12),6)</f>
        <v>135924</v>
      </c>
      <c r="AD16" s="181">
        <v>6</v>
      </c>
      <c r="AE16" s="10"/>
      <c r="AF16" s="10"/>
      <c r="AG16" s="10"/>
      <c r="AH16" s="10"/>
    </row>
    <row r="17" spans="1:34" s="2" customFormat="1" ht="18" customHeight="1">
      <c r="A17" s="12"/>
      <c r="B17" s="9"/>
      <c r="C17" s="16" t="s">
        <v>14</v>
      </c>
      <c r="D17" s="13"/>
      <c r="E17" s="273" t="s">
        <v>71</v>
      </c>
      <c r="F17" s="253"/>
      <c r="G17" s="253"/>
      <c r="H17" s="253"/>
      <c r="I17" s="14"/>
      <c r="J17" s="9"/>
      <c r="K17" s="12"/>
      <c r="L17" s="15"/>
      <c r="M17" s="15"/>
      <c r="N17" s="24"/>
      <c r="O17" s="24"/>
      <c r="P17" s="24"/>
      <c r="Q17" s="24"/>
      <c r="R17" s="25"/>
      <c r="S17" s="15"/>
      <c r="T17" s="15"/>
      <c r="U17" s="15"/>
      <c r="V17" s="25"/>
      <c r="W17" s="15"/>
      <c r="X17" s="15"/>
      <c r="Y17" s="15"/>
      <c r="Z17" s="168">
        <v>2025</v>
      </c>
      <c r="AA17" s="167" t="s">
        <v>82</v>
      </c>
      <c r="AB17" s="177" t="s">
        <v>116</v>
      </c>
      <c r="AC17" s="180" t="str">
        <f>LEFT(RIGHT(AB17,12),6)</f>
        <v>857463</v>
      </c>
      <c r="AD17" s="181">
        <f ca="1">IF($Z$4="体验版",1,7)</f>
        <v>7</v>
      </c>
      <c r="AE17" s="10"/>
      <c r="AF17" s="10"/>
      <c r="AG17" s="10"/>
      <c r="AH17" s="10"/>
    </row>
    <row r="18" spans="1:34" s="2" customFormat="1" ht="18" customHeight="1" thickBot="1">
      <c r="A18" s="12"/>
      <c r="B18" s="9"/>
      <c r="C18" s="110" t="s">
        <v>69</v>
      </c>
      <c r="D18" s="13"/>
      <c r="E18" s="274" t="s">
        <v>101</v>
      </c>
      <c r="F18" s="253"/>
      <c r="G18" s="253"/>
      <c r="H18" s="253"/>
      <c r="I18" s="14"/>
      <c r="J18" s="9"/>
      <c r="K18" s="12"/>
      <c r="L18" s="15"/>
      <c r="M18" s="15"/>
      <c r="N18" s="24"/>
      <c r="O18" s="24"/>
      <c r="P18" s="24"/>
      <c r="Q18" s="24"/>
      <c r="R18" s="25"/>
      <c r="S18" s="15"/>
      <c r="T18" s="15"/>
      <c r="U18" s="15"/>
      <c r="V18" s="25"/>
      <c r="W18" s="15"/>
      <c r="X18" s="15"/>
      <c r="Y18" s="15"/>
      <c r="Z18" s="188">
        <f>E30</f>
        <v>2023</v>
      </c>
      <c r="AA18" s="189" t="str">
        <f>VLOOKUP($Z$18,$Z$13:$AB$17,3,FALSE)</f>
        <v>6525748596547824</v>
      </c>
      <c r="AB18" s="189" t="s">
        <v>121</v>
      </c>
      <c r="AC18" s="187" t="str">
        <f>VLOOKUP($Z$18,$Z$13:$AC$17,4,FALSE)</f>
        <v>748596</v>
      </c>
      <c r="AD18" s="181">
        <f ca="1">IF($Z$4="体验版",2,8)</f>
        <v>8</v>
      </c>
      <c r="AE18" s="10"/>
      <c r="AF18" s="10"/>
      <c r="AG18" s="10"/>
      <c r="AH18" s="10"/>
    </row>
    <row r="19" spans="1:34" s="2" customFormat="1" ht="18" customHeight="1">
      <c r="A19" s="12"/>
      <c r="B19" s="9"/>
      <c r="C19" s="16" t="s">
        <v>16</v>
      </c>
      <c r="D19" s="13"/>
      <c r="E19" s="275" t="s">
        <v>17</v>
      </c>
      <c r="F19" s="275"/>
      <c r="G19" s="275"/>
      <c r="H19" s="275"/>
      <c r="I19" s="14"/>
      <c r="J19" s="9"/>
      <c r="K19" s="12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25"/>
      <c r="AA19" s="10"/>
      <c r="AB19" s="10"/>
      <c r="AC19" s="10"/>
      <c r="AD19" s="181">
        <f ca="1">IF($Z$4="体验版",3,9)</f>
        <v>9</v>
      </c>
      <c r="AE19" s="10"/>
      <c r="AF19" s="10"/>
      <c r="AG19" s="10"/>
      <c r="AH19" s="10"/>
    </row>
    <row r="20" spans="1:34" s="2" customFormat="1" ht="18" customHeight="1">
      <c r="A20" s="12"/>
      <c r="B20" s="9"/>
      <c r="C20" s="16" t="s">
        <v>18</v>
      </c>
      <c r="D20" s="13"/>
      <c r="E20" s="253" t="s">
        <v>99</v>
      </c>
      <c r="F20" s="253"/>
      <c r="G20" s="253"/>
      <c r="H20" s="253"/>
      <c r="I20" s="14"/>
      <c r="J20" s="9"/>
      <c r="K20" s="12"/>
      <c r="L20" s="15"/>
      <c r="M20" s="251" t="s">
        <v>84</v>
      </c>
      <c r="N20" s="251"/>
      <c r="O20" s="251"/>
      <c r="P20" s="251"/>
      <c r="Q20" s="251"/>
      <c r="R20" s="251"/>
      <c r="S20" s="251"/>
      <c r="T20" s="251"/>
      <c r="U20" s="251"/>
      <c r="V20" s="251"/>
      <c r="W20" s="251"/>
      <c r="X20" s="251"/>
      <c r="Y20" s="251"/>
      <c r="Z20" s="251"/>
      <c r="AA20" s="10"/>
      <c r="AB20" s="10"/>
      <c r="AC20" s="10"/>
      <c r="AD20" s="181">
        <f ca="1">IF($Z$4="体验版",4,10)</f>
        <v>10</v>
      </c>
      <c r="AE20" s="10"/>
      <c r="AF20" s="10"/>
      <c r="AG20" s="10"/>
      <c r="AH20" s="10"/>
    </row>
    <row r="21" spans="1:34" s="2" customFormat="1" ht="18" customHeight="1" thickBot="1">
      <c r="A21" s="12"/>
      <c r="B21" s="9"/>
      <c r="C21" s="16" t="s">
        <v>19</v>
      </c>
      <c r="D21" s="13"/>
      <c r="E21" s="252" t="s">
        <v>78</v>
      </c>
      <c r="F21" s="253"/>
      <c r="G21" s="253"/>
      <c r="H21" s="253"/>
      <c r="I21" s="14"/>
      <c r="J21" s="9"/>
      <c r="K21" s="12"/>
      <c r="L21" s="15"/>
      <c r="M21" s="35"/>
      <c r="N21" s="36"/>
      <c r="O21" s="36"/>
      <c r="P21" s="36"/>
      <c r="Q21" s="36"/>
      <c r="R21" s="37"/>
      <c r="S21" s="37"/>
      <c r="T21" s="37"/>
      <c r="U21" s="37"/>
      <c r="V21" s="37"/>
      <c r="W21" s="37"/>
      <c r="X21" s="37"/>
      <c r="Y21" s="37"/>
      <c r="Z21" s="37"/>
      <c r="AA21" s="10"/>
      <c r="AB21" s="10"/>
      <c r="AC21" s="10"/>
      <c r="AD21" s="181">
        <f ca="1">IF($Z$4="体验版",5,11)</f>
        <v>11</v>
      </c>
      <c r="AE21" s="10"/>
      <c r="AF21" s="10"/>
      <c r="AG21" s="10"/>
      <c r="AH21" s="10"/>
    </row>
    <row r="22" spans="1:34" s="2" customFormat="1" ht="18" customHeight="1" thickBot="1">
      <c r="A22" s="12"/>
      <c r="B22" s="9"/>
      <c r="C22" s="16" t="s">
        <v>20</v>
      </c>
      <c r="D22" s="13"/>
      <c r="E22" s="252" t="s">
        <v>77</v>
      </c>
      <c r="F22" s="253"/>
      <c r="G22" s="253"/>
      <c r="H22" s="253"/>
      <c r="I22" s="14"/>
      <c r="J22" s="9"/>
      <c r="K22" s="12"/>
      <c r="L22" s="15"/>
      <c r="M22" s="35"/>
      <c r="N22" s="254" t="s">
        <v>21</v>
      </c>
      <c r="O22" s="255"/>
      <c r="P22" s="255"/>
      <c r="Q22" s="256"/>
      <c r="R22" s="37"/>
      <c r="S22" s="260" t="s">
        <v>22</v>
      </c>
      <c r="T22" s="261"/>
      <c r="U22" s="261"/>
      <c r="V22" s="261"/>
      <c r="W22" s="261"/>
      <c r="X22" s="261"/>
      <c r="Y22" s="262"/>
      <c r="Z22" s="37"/>
      <c r="AA22" s="38">
        <f ca="1">MIN(AA25:AA26)</f>
        <v>28000</v>
      </c>
      <c r="AB22" s="173" t="str">
        <f>IF(E27="","未填写",IF(ISNA(VLOOKUP(AD3&amp;E27&amp;E30,UC!$AE$1001:$AL$1109,3,FALSE)),"未注册",VLOOKUP(AD3&amp;E27&amp;E30,UC!$AE$1001:$AL$1109,3,FALSE)))</f>
        <v>免费版</v>
      </c>
      <c r="AC22" s="10"/>
      <c r="AD22" s="182">
        <f ca="1">IF($Z$4="体验版",6,12)</f>
        <v>12</v>
      </c>
      <c r="AE22" s="10"/>
      <c r="AF22" s="10"/>
      <c r="AG22" s="10"/>
      <c r="AH22" s="10"/>
    </row>
    <row r="23" spans="1:34" ht="4.5" customHeight="1" thickBot="1">
      <c r="A23" s="3"/>
      <c r="B23" s="9"/>
      <c r="C23" s="9"/>
      <c r="D23" s="9"/>
      <c r="E23" s="9"/>
      <c r="F23" s="9"/>
      <c r="G23" s="9"/>
      <c r="H23" s="9"/>
      <c r="I23" s="9"/>
      <c r="J23" s="9"/>
      <c r="K23" s="12"/>
      <c r="L23" s="9"/>
      <c r="M23" s="39"/>
      <c r="N23" s="257"/>
      <c r="O23" s="258"/>
      <c r="P23" s="258"/>
      <c r="Q23" s="259"/>
      <c r="R23" s="37"/>
      <c r="S23" s="263"/>
      <c r="T23" s="264"/>
      <c r="U23" s="264"/>
      <c r="V23" s="264"/>
      <c r="W23" s="264"/>
      <c r="X23" s="264"/>
      <c r="Y23" s="265"/>
      <c r="Z23" s="67"/>
    </row>
    <row r="24" spans="1:34" ht="26.25" customHeight="1" thickBot="1">
      <c r="A24" s="3"/>
      <c r="B24" s="9"/>
      <c r="C24" s="278" t="s">
        <v>23</v>
      </c>
      <c r="D24" s="278"/>
      <c r="E24" s="278"/>
      <c r="F24" s="278"/>
      <c r="G24" s="278"/>
      <c r="H24" s="278"/>
      <c r="I24" s="278"/>
      <c r="J24" s="9"/>
      <c r="K24" s="12"/>
      <c r="L24" s="15"/>
      <c r="M24" s="35"/>
      <c r="N24" s="40" t="str">
        <f>IF((MOD(E30,400)=0)+(MOD(E30,4)=0)*MOD(E30,100),"闰年","平年")</f>
        <v>平年</v>
      </c>
      <c r="O24" s="239" t="s">
        <v>24</v>
      </c>
      <c r="P24" s="239"/>
      <c r="Q24" s="240"/>
      <c r="R24" s="37"/>
      <c r="S24" s="241" t="s">
        <v>25</v>
      </c>
      <c r="T24" s="242"/>
      <c r="U24" s="242"/>
      <c r="V24" s="242"/>
      <c r="W24" s="242"/>
      <c r="X24" s="242"/>
      <c r="Y24" s="243"/>
      <c r="Z24" s="37"/>
      <c r="AA24" s="229" t="str">
        <f ca="1">IF(AA27="未注册","警告！因当前用户不合法，程序会自动导致核算错误，敬请谅解！",IF(AA25&lt;0,"温馨提示：当前用户已过有效期，请到官网重新申请授权或续费！",IF(AA26&lt;0,"温馨提示：当前用户已过有效期，请到官网重新申请授权或续费！","")))</f>
        <v/>
      </c>
      <c r="AB24" s="230"/>
      <c r="AC24" s="230"/>
      <c r="AD24" s="230"/>
      <c r="AE24" s="230"/>
      <c r="AF24" s="230"/>
      <c r="AG24" s="231"/>
    </row>
    <row r="25" spans="1:34" ht="18" customHeight="1">
      <c r="A25" s="3"/>
      <c r="B25" s="9"/>
      <c r="C25" s="16" t="s">
        <v>26</v>
      </c>
      <c r="D25" s="17"/>
      <c r="E25" s="232" t="str">
        <f ca="1">IF(OR(AA22&lt;0,AA4=0,AA25="")=TRUE,"警告! 当前该软件已过期",AC4&amp;"│软件有效期还剩")</f>
        <v>免费版│软件有效期还剩</v>
      </c>
      <c r="F25" s="232"/>
      <c r="G25" s="128">
        <f ca="1">IF(AA22&lt;0,-AA22,AA22)</f>
        <v>28000</v>
      </c>
      <c r="H25" s="129" t="s">
        <v>27</v>
      </c>
      <c r="I25" s="14"/>
      <c r="J25" s="9"/>
      <c r="K25" s="12"/>
      <c r="L25" s="9"/>
      <c r="M25" s="39"/>
      <c r="N25" s="41">
        <f>IF(N24="闰年",29,28)</f>
        <v>28</v>
      </c>
      <c r="O25" s="42" t="s">
        <v>28</v>
      </c>
      <c r="P25" s="42" t="s">
        <v>29</v>
      </c>
      <c r="Q25" s="43" t="s">
        <v>30</v>
      </c>
      <c r="R25" s="37"/>
      <c r="S25" s="233" t="s">
        <v>31</v>
      </c>
      <c r="T25" s="234"/>
      <c r="U25" s="234"/>
      <c r="V25" s="154" t="s">
        <v>32</v>
      </c>
      <c r="W25" s="234" t="s">
        <v>33</v>
      </c>
      <c r="X25" s="234"/>
      <c r="Y25" s="235"/>
      <c r="Z25" s="67"/>
      <c r="AA25" s="44">
        <f ca="1">IF(E28-AC18=0,30+AB25-AC25,AB25-AC25)</f>
        <v>28000</v>
      </c>
      <c r="AB25" s="45">
        <f>DATEVALUE("2099-12-31")</f>
        <v>73050</v>
      </c>
      <c r="AC25" s="33">
        <f ca="1">DATEVALUE(AD25&amp;"-"&amp;AE25&amp;"-"&amp;AF25)</f>
        <v>45050</v>
      </c>
      <c r="AD25" s="33">
        <f ca="1">YEAR(NOW())</f>
        <v>2023</v>
      </c>
      <c r="AE25" s="33">
        <f ca="1">MONTH(NOW())</f>
        <v>5</v>
      </c>
      <c r="AF25" s="33">
        <f ca="1">DAY(NOW())</f>
        <v>4</v>
      </c>
      <c r="AG25" s="46">
        <f ca="1">AA25</f>
        <v>28000</v>
      </c>
    </row>
    <row r="26" spans="1:34" ht="18" customHeight="1" thickBot="1">
      <c r="A26" s="3"/>
      <c r="B26" s="9"/>
      <c r="C26" s="16" t="s">
        <v>34</v>
      </c>
      <c r="D26" s="17"/>
      <c r="E26" s="249" t="str">
        <f>IF(E27="","XXXX-XXXX-XXXX-XXXX",IF(ISNA(VLOOKUP(AD3&amp;E27&amp;E30,UC!$AE$1001:$AL$1100,2,FALSE)),AA31,VLOOKUP(AD3&amp;E27&amp;E30,UC!$AE$1001:$AL$1100,2,FALSE)))</f>
        <v>Free-0135-6603-5181</v>
      </c>
      <c r="F26" s="250"/>
      <c r="G26" s="250"/>
      <c r="H26" s="250"/>
      <c r="I26" s="250"/>
      <c r="J26" s="9"/>
      <c r="K26" s="12"/>
      <c r="L26" s="9"/>
      <c r="M26" s="39"/>
      <c r="N26" s="47" t="s">
        <v>35</v>
      </c>
      <c r="O26" s="48">
        <f>IF(OR(P26=12,P26=11)=TRUE,E30-1,E30)</f>
        <v>2023</v>
      </c>
      <c r="P26" s="48">
        <f>IF(G30=2,12,P27-1)</f>
        <v>3</v>
      </c>
      <c r="Q26" s="49">
        <f>IF(P26=2,N25,IF(OR(P26=1,P26=3,P26=5,P26=7,P26=8,P26=10,P26=12)=TRUE,31,30))</f>
        <v>31</v>
      </c>
      <c r="R26" s="37"/>
      <c r="S26" s="155" t="s">
        <v>28</v>
      </c>
      <c r="T26" s="156" t="s">
        <v>29</v>
      </c>
      <c r="U26" s="156" t="s">
        <v>30</v>
      </c>
      <c r="V26" s="157">
        <v>31</v>
      </c>
      <c r="W26" s="156" t="s">
        <v>28</v>
      </c>
      <c r="X26" s="156" t="s">
        <v>29</v>
      </c>
      <c r="Y26" s="158" t="s">
        <v>30</v>
      </c>
      <c r="Z26" s="67"/>
      <c r="AA26" s="44">
        <f ca="1">IF(OR(AA27="注册版",AA27="体验版")=TRUE,AB26-AC25,AB26-AC25)</f>
        <v>28000</v>
      </c>
      <c r="AB26" s="50">
        <f>IF(ISNA(VLOOKUP(AD3&amp;E27&amp;E30,UC!$AE$1001:$AL$1099,5,FALSE)),AB25,VLOOKUP(AD3&amp;E27&amp;E30,UC!$AE$1001:$AL$1099,5,FALSE))</f>
        <v>73050</v>
      </c>
      <c r="AC26" s="51" t="s">
        <v>0</v>
      </c>
      <c r="AD26" s="51" t="s">
        <v>0</v>
      </c>
      <c r="AE26" s="51" t="s">
        <v>0</v>
      </c>
      <c r="AF26" s="51" t="s">
        <v>0</v>
      </c>
      <c r="AG26" s="34" t="s">
        <v>0</v>
      </c>
    </row>
    <row r="27" spans="1:34" ht="18" customHeight="1" thickBot="1">
      <c r="A27" s="3"/>
      <c r="B27" s="9"/>
      <c r="C27" s="16" t="s">
        <v>36</v>
      </c>
      <c r="D27" s="52"/>
      <c r="E27" s="276" t="s">
        <v>117</v>
      </c>
      <c r="F27" s="277"/>
      <c r="G27" s="277"/>
      <c r="H27" s="277"/>
      <c r="I27" s="53"/>
      <c r="J27" s="9"/>
      <c r="K27" s="3"/>
      <c r="L27" s="9"/>
      <c r="M27" s="39"/>
      <c r="N27" s="47" t="s">
        <v>37</v>
      </c>
      <c r="O27" s="48">
        <f>IF(P27=12,E30-1,E30)</f>
        <v>2023</v>
      </c>
      <c r="P27" s="48">
        <f>IF(G30=1,12,G30-1)</f>
        <v>4</v>
      </c>
      <c r="Q27" s="49">
        <f>IF(P27=2,N25,IF(OR(P27=1,P27=3,P27=5,P27=7,P27=8,P27=10,P27=12)=TRUE,31,30))</f>
        <v>30</v>
      </c>
      <c r="R27" s="39"/>
      <c r="S27" s="150">
        <f>IF(T27=P26,O26,O27)</f>
        <v>2023</v>
      </c>
      <c r="T27" s="151">
        <f>IF(U27=1,G30,P27)</f>
        <v>5</v>
      </c>
      <c r="U27" s="151">
        <f>IF(V26&gt;=Q27,1,V26+1)</f>
        <v>1</v>
      </c>
      <c r="V27" s="152" t="s">
        <v>38</v>
      </c>
      <c r="W27" s="151">
        <f>E30</f>
        <v>2023</v>
      </c>
      <c r="X27" s="151">
        <f>G30</f>
        <v>5</v>
      </c>
      <c r="Y27" s="153">
        <f>IF(V26="",Q30,IF(V26&lt;=Q30,V26,Q30))</f>
        <v>31</v>
      </c>
      <c r="Z27" s="67"/>
      <c r="AA27" s="54">
        <f>MIN(AB25:AB26)-AC27</f>
        <v>27973</v>
      </c>
      <c r="AB27" s="27" t="str">
        <f>IF(AA27&lt;0,"未激活",AC4)</f>
        <v>免费版</v>
      </c>
      <c r="AC27" s="27">
        <f>DATEVALUE(AD27&amp;"-"&amp;AE27&amp;"-"&amp;AF27)</f>
        <v>45077</v>
      </c>
      <c r="AD27" s="27">
        <f>E30</f>
        <v>2023</v>
      </c>
      <c r="AE27" s="27">
        <f>G30</f>
        <v>5</v>
      </c>
      <c r="AF27" s="27">
        <f>Q30</f>
        <v>31</v>
      </c>
      <c r="AG27" s="55" t="s">
        <v>0</v>
      </c>
    </row>
    <row r="28" spans="1:34" ht="18" customHeight="1">
      <c r="A28" s="3"/>
      <c r="B28" s="9"/>
      <c r="C28" s="159" t="s">
        <v>109</v>
      </c>
      <c r="D28" s="52"/>
      <c r="E28" s="184">
        <v>0</v>
      </c>
      <c r="F28" s="270" t="s">
        <v>122</v>
      </c>
      <c r="G28" s="270"/>
      <c r="H28" s="270"/>
      <c r="I28" s="271"/>
      <c r="J28" s="9"/>
      <c r="K28" s="3"/>
      <c r="L28" s="9"/>
      <c r="M28" s="39"/>
      <c r="N28" s="47" t="s">
        <v>39</v>
      </c>
      <c r="O28" s="48">
        <f>E30</f>
        <v>2023</v>
      </c>
      <c r="P28" s="48">
        <f>G30</f>
        <v>5</v>
      </c>
      <c r="Q28" s="49">
        <v>1</v>
      </c>
      <c r="R28" s="39"/>
      <c r="S28" s="144">
        <f>IF(OR(T28=11,T28=12)=TRUE,O26,O27)</f>
        <v>2023</v>
      </c>
      <c r="T28" s="143">
        <f>IF(U28=1,P27,P26)</f>
        <v>4</v>
      </c>
      <c r="U28" s="143">
        <f>IF(V26&gt;=Q26,1,V26+1)</f>
        <v>1</v>
      </c>
      <c r="V28" s="56" t="s">
        <v>40</v>
      </c>
      <c r="W28" s="143">
        <f>O27</f>
        <v>2023</v>
      </c>
      <c r="X28" s="143">
        <f>P27</f>
        <v>4</v>
      </c>
      <c r="Y28" s="145">
        <f>IF(V26="",Q27,MIN(Q27,V26))</f>
        <v>30</v>
      </c>
      <c r="Z28" s="67"/>
    </row>
    <row r="29" spans="1:34" ht="18" customHeight="1" thickBot="1">
      <c r="A29" s="3"/>
      <c r="B29" s="9"/>
      <c r="C29" s="117" t="s">
        <v>80</v>
      </c>
      <c r="D29" s="52"/>
      <c r="E29" s="190" t="s">
        <v>124</v>
      </c>
      <c r="F29" s="130" t="s">
        <v>102</v>
      </c>
      <c r="G29" s="236" t="s">
        <v>118</v>
      </c>
      <c r="H29" s="237"/>
      <c r="I29" s="238"/>
      <c r="J29" s="9"/>
      <c r="K29" s="3"/>
      <c r="L29" s="9"/>
      <c r="M29" s="39"/>
      <c r="N29" s="47" t="s">
        <v>42</v>
      </c>
      <c r="O29" s="48">
        <f>E30</f>
        <v>2023</v>
      </c>
      <c r="P29" s="48">
        <f>G30</f>
        <v>5</v>
      </c>
      <c r="Q29" s="49">
        <f>IF(G30=2,N25,IF(OR(G30=1,G30=3,G30=5,G30=7,G30=8,G30=10,G30=12)=TRUE,31,30))</f>
        <v>31</v>
      </c>
      <c r="R29" s="39"/>
      <c r="S29" s="146">
        <f>S27</f>
        <v>2023</v>
      </c>
      <c r="T29" s="147">
        <f>T27</f>
        <v>5</v>
      </c>
      <c r="U29" s="147">
        <f>U27</f>
        <v>1</v>
      </c>
      <c r="V29" s="148" t="s">
        <v>43</v>
      </c>
      <c r="W29" s="147">
        <f>E30</f>
        <v>2023</v>
      </c>
      <c r="X29" s="147">
        <f>P29</f>
        <v>5</v>
      </c>
      <c r="Y29" s="149">
        <f>Y27</f>
        <v>31</v>
      </c>
      <c r="Z29" s="67"/>
    </row>
    <row r="30" spans="1:34" ht="18" customHeight="1" thickBot="1">
      <c r="A30" s="3"/>
      <c r="B30" s="9"/>
      <c r="C30" s="16" t="s">
        <v>41</v>
      </c>
      <c r="D30" s="52"/>
      <c r="E30" s="57">
        <v>2023</v>
      </c>
      <c r="F30" s="185" t="s">
        <v>28</v>
      </c>
      <c r="G30" s="244">
        <v>5</v>
      </c>
      <c r="H30" s="244"/>
      <c r="I30" s="186" t="s">
        <v>29</v>
      </c>
      <c r="J30" s="9"/>
      <c r="K30" s="3"/>
      <c r="L30" s="9"/>
      <c r="M30" s="39"/>
      <c r="N30" s="59" t="s">
        <v>44</v>
      </c>
      <c r="O30" s="60">
        <f>E30</f>
        <v>2023</v>
      </c>
      <c r="P30" s="60" t="str">
        <f>IF(G30&gt;9,G30,0&amp;G30)</f>
        <v>05</v>
      </c>
      <c r="Q30" s="61">
        <f>IF(G30=2,N25,IF(OR(G30=1,G30=3,G30=5,G30=7,G30=8,G30=10,G30=12)=TRUE,31,30))</f>
        <v>31</v>
      </c>
      <c r="R30" s="39"/>
      <c r="S30" s="62">
        <f>S29</f>
        <v>2023</v>
      </c>
      <c r="T30" s="63" t="str">
        <f>IF(T29&gt;9,T29,0&amp;T29)</f>
        <v>05</v>
      </c>
      <c r="U30" s="63" t="str">
        <f>IF(U29&gt;9,U29,0&amp;U29)</f>
        <v>01</v>
      </c>
      <c r="V30" s="64" t="s">
        <v>45</v>
      </c>
      <c r="W30" s="63">
        <f>W29</f>
        <v>2023</v>
      </c>
      <c r="X30" s="63" t="str">
        <f>IF(X29&gt;9,X29,0&amp;X29)</f>
        <v>05</v>
      </c>
      <c r="Y30" s="65">
        <f>Y29</f>
        <v>31</v>
      </c>
      <c r="Z30" s="67"/>
    </row>
    <row r="31" spans="1:34" ht="18" customHeight="1">
      <c r="A31" s="3"/>
      <c r="B31" s="9"/>
      <c r="C31" s="245" t="str">
        <f ca="1">IF(Z4="体验版","    新大榭欢迎您参与"&amp;E30&amp;"年度当前软件体验版的测试！",IF(AA22&lt;0,"    新大榭遗憾地通知您，当前您使用的软件已经失效了！",IF(AA22&lt;31,"    特别提示：当前软件已快失效，请联系作者更新注册码！",IF(OR(E27="新大榭",E27="新大榭论坛",E27="新大榭工作室",)=TRUE,"    新大榭将免费进行到底！我们承诺本世纪软件永久免费！",IF(L31=1,"    恭喜您！当前用户已通过新大榭官方工作室正版验证！","    经查询,当前用户在新大榭网络云端数据库中不存在!")))))</f>
        <v xml:space="preserve">    新大榭将免费进行到底！我们承诺本世纪软件永久免费！</v>
      </c>
      <c r="D31" s="246"/>
      <c r="E31" s="246"/>
      <c r="F31" s="246"/>
      <c r="G31" s="246"/>
      <c r="H31" s="246"/>
      <c r="I31" s="247"/>
      <c r="J31" s="9"/>
      <c r="K31" s="3"/>
      <c r="L31" s="58">
        <f ca="1">AA3</f>
        <v>1</v>
      </c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67"/>
    </row>
    <row r="32" spans="1:34" ht="4.5" customHeight="1">
      <c r="A32" s="3"/>
      <c r="B32" s="9"/>
      <c r="C32" s="18"/>
      <c r="D32" s="18"/>
      <c r="E32" s="11"/>
      <c r="F32" s="11"/>
      <c r="G32" s="11"/>
      <c r="H32" s="11"/>
      <c r="I32" s="11"/>
      <c r="J32" s="9"/>
      <c r="K32" s="3"/>
      <c r="L32" s="9"/>
      <c r="M32" s="39"/>
      <c r="N32" s="66"/>
      <c r="O32" s="66"/>
      <c r="P32" s="66"/>
      <c r="Q32" s="66"/>
      <c r="R32" s="67"/>
      <c r="S32" s="39"/>
      <c r="T32" s="39"/>
      <c r="U32" s="39"/>
      <c r="V32" s="67"/>
      <c r="W32" s="39"/>
      <c r="X32" s="39"/>
      <c r="Y32" s="39"/>
      <c r="Z32" s="67"/>
    </row>
    <row r="33" spans="1:26" ht="4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9"/>
      <c r="M33" s="39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67"/>
    </row>
    <row r="34" spans="1:26" ht="14.25" hidden="1" customHeight="1"/>
    <row r="35" spans="1:26" ht="14.25" hidden="1" customHeight="1"/>
    <row r="36" spans="1:26" ht="13.5" hidden="1" customHeight="1"/>
    <row r="37" spans="1:26" ht="13.5" hidden="1" customHeight="1"/>
    <row r="38" spans="1:26" ht="13.5" hidden="1" customHeight="1"/>
    <row r="39" spans="1:26" ht="13.5" hidden="1" customHeight="1"/>
    <row r="40" spans="1:26" ht="13.5" hidden="1" customHeight="1"/>
    <row r="41" spans="1:26" ht="13.5" hidden="1" customHeight="1"/>
    <row r="42" spans="1:26" ht="13.5" hidden="1" customHeight="1"/>
    <row r="43" spans="1:26" ht="13.5" hidden="1" customHeight="1"/>
    <row r="44" spans="1:26" ht="13.5" hidden="1" customHeight="1"/>
    <row r="45" spans="1:26" ht="13.5" hidden="1" customHeight="1"/>
    <row r="46" spans="1:26" ht="13.5" hidden="1" customHeight="1"/>
    <row r="47" spans="1:26" ht="13.5" hidden="1" customHeight="1"/>
    <row r="48" spans="1:26" ht="13.5" hidden="1" customHeight="1"/>
    <row r="49" ht="13.5" hidden="1" customHeight="1"/>
    <row r="50" ht="13.5" hidden="1" customHeight="1"/>
    <row r="51" ht="13.5" hidden="1" customHeight="1"/>
    <row r="52" ht="13.5" hidden="1" customHeight="1"/>
    <row r="53" ht="13.5" hidden="1" customHeight="1"/>
    <row r="54" ht="13.5" hidden="1" customHeight="1"/>
    <row r="55" ht="13.5" hidden="1" customHeight="1"/>
    <row r="56" ht="13.5" hidden="1" customHeight="1"/>
    <row r="57" ht="13.5" hidden="1" customHeight="1"/>
    <row r="58" ht="13.5" hidden="1" customHeight="1"/>
    <row r="59" ht="13.5" hidden="1" customHeight="1"/>
    <row r="60" ht="13.5" hidden="1" customHeight="1"/>
    <row r="61" ht="13.5" hidden="1" customHeight="1"/>
    <row r="62" ht="13.5" hidden="1" customHeight="1"/>
    <row r="63" ht="13.5" hidden="1" customHeight="1"/>
    <row r="64" ht="13.5" hidden="1" customHeight="1"/>
    <row r="65" ht="13.5" hidden="1" customHeight="1"/>
    <row r="66" ht="13.5" hidden="1" customHeight="1"/>
    <row r="67" ht="13.5" hidden="1" customHeight="1"/>
    <row r="68" ht="13.5" hidden="1" customHeight="1"/>
    <row r="69" ht="13.5" hidden="1" customHeight="1"/>
    <row r="70" ht="13.5" hidden="1" customHeight="1"/>
    <row r="71" ht="13.5" hidden="1" customHeight="1"/>
    <row r="72" ht="13.5" hidden="1" customHeight="1"/>
    <row r="73" ht="13.5" hidden="1" customHeight="1"/>
    <row r="74" ht="13.5" hidden="1" customHeight="1"/>
    <row r="75" ht="13.5" hidden="1" customHeight="1"/>
    <row r="76" ht="13.5" hidden="1" customHeight="1"/>
    <row r="77" ht="13.5" hidden="1" customHeight="1"/>
    <row r="78" ht="13.5" hidden="1" customHeight="1"/>
    <row r="79" ht="13.5" hidden="1" customHeight="1"/>
    <row r="80" ht="13.5" hidden="1" customHeight="1"/>
    <row r="81" ht="13.5" hidden="1" customHeight="1"/>
    <row r="82" ht="13.5" hidden="1" customHeight="1"/>
    <row r="83" ht="13.5" hidden="1" customHeight="1"/>
    <row r="84" ht="13.5" hidden="1" customHeight="1"/>
    <row r="85" ht="13.5" hidden="1" customHeight="1"/>
    <row r="86" ht="13.5" hidden="1" customHeight="1"/>
    <row r="87" ht="13.5" hidden="1" customHeight="1"/>
    <row r="88" ht="13.5" hidden="1" customHeight="1"/>
    <row r="89" ht="13.5" hidden="1" customHeight="1"/>
    <row r="90" ht="13.5" hidden="1" customHeight="1"/>
    <row r="91" ht="13.5" hidden="1" customHeight="1"/>
    <row r="92" ht="13.5" hidden="1" customHeight="1"/>
    <row r="93" ht="13.5" hidden="1" customHeight="1"/>
    <row r="94" ht="13.5" hidden="1" customHeight="1"/>
    <row r="95" ht="13.5" hidden="1" customHeight="1"/>
    <row r="96" ht="13.5" hidden="1" customHeight="1"/>
    <row r="97" ht="13.5" hidden="1" customHeight="1"/>
    <row r="98" ht="13.5" hidden="1" customHeight="1"/>
    <row r="99" ht="13.5" hidden="1" customHeight="1"/>
    <row r="100" ht="13.5" hidden="1" customHeight="1"/>
    <row r="101" ht="13.5" hidden="1" customHeight="1"/>
    <row r="102" ht="13.5" hidden="1" customHeight="1"/>
    <row r="103" ht="13.5" hidden="1" customHeight="1"/>
    <row r="104" ht="13.5" hidden="1" customHeight="1"/>
    <row r="105" ht="13.5" hidden="1" customHeight="1"/>
    <row r="106" ht="16.5" hidden="1" customHeight="1"/>
    <row r="107" ht="13.5" hidden="1" customHeight="1"/>
    <row r="108" ht="13.5" hidden="1" customHeight="1"/>
    <row r="109" ht="13.5" hidden="1" customHeight="1"/>
    <row r="110" ht="13.5" hidden="1" customHeight="1"/>
    <row r="111" ht="13.5" hidden="1" customHeight="1"/>
    <row r="112" ht="13.5" hidden="1" customHeight="1"/>
    <row r="113" ht="13.5" hidden="1" customHeight="1"/>
    <row r="114" ht="13.5" hidden="1" customHeight="1"/>
    <row r="115" ht="13.5" hidden="1" customHeight="1"/>
    <row r="116" ht="13.5" hidden="1" customHeight="1"/>
    <row r="117" ht="13.5" hidden="1" customHeight="1"/>
    <row r="118" ht="13.5" hidden="1" customHeight="1"/>
    <row r="119" ht="13.5" hidden="1" customHeight="1"/>
    <row r="120" ht="13.5" hidden="1" customHeight="1"/>
    <row r="121" ht="13.5" hidden="1" customHeight="1"/>
    <row r="122" ht="13.5" hidden="1" customHeight="1"/>
    <row r="123" ht="13.5" hidden="1" customHeight="1"/>
    <row r="124" ht="13.5" hidden="1" customHeight="1"/>
    <row r="125" ht="13.5" hidden="1" customHeight="1"/>
    <row r="126" ht="13.5" hidden="1" customHeight="1"/>
    <row r="127" ht="13.5" hidden="1" customHeight="1"/>
    <row r="128" ht="13.5" hidden="1" customHeight="1"/>
    <row r="129" ht="13.5" hidden="1" customHeight="1"/>
    <row r="130" ht="13.5" hidden="1" customHeight="1"/>
    <row r="131" ht="13.5" hidden="1" customHeight="1"/>
    <row r="132" ht="13.5" hidden="1" customHeight="1"/>
    <row r="133" ht="13.5" hidden="1" customHeight="1"/>
    <row r="134" ht="13.5" hidden="1" customHeight="1"/>
    <row r="135" ht="13.5" hidden="1" customHeight="1"/>
    <row r="136" ht="13.5" hidden="1" customHeight="1"/>
    <row r="137" ht="13.5" hidden="1" customHeight="1"/>
    <row r="138" ht="13.5" hidden="1" customHeight="1"/>
    <row r="139" ht="13.5" hidden="1" customHeight="1"/>
    <row r="140" ht="13.5" hidden="1" customHeight="1"/>
    <row r="141" ht="13.5" hidden="1" customHeight="1"/>
    <row r="142" ht="13.5" hidden="1" customHeight="1"/>
    <row r="143" ht="13.5" hidden="1" customHeight="1"/>
    <row r="144" ht="13.5" hidden="1" customHeight="1"/>
    <row r="145" ht="13.5" hidden="1" customHeight="1"/>
    <row r="146" ht="13.5" hidden="1" customHeight="1"/>
    <row r="147" ht="13.5" hidden="1" customHeight="1"/>
    <row r="148" ht="13.5" hidden="1" customHeight="1"/>
    <row r="149" ht="13.5" hidden="1" customHeight="1"/>
    <row r="150" ht="13.5" hidden="1" customHeight="1"/>
    <row r="151" ht="13.5" hidden="1" customHeight="1"/>
  </sheetData>
  <sheetProtection password="AE1D" sheet="1" objects="1" scenarios="1" selectLockedCells="1"/>
  <mergeCells count="38">
    <mergeCell ref="C3:I3"/>
    <mergeCell ref="E4:H4"/>
    <mergeCell ref="E5:I5"/>
    <mergeCell ref="E6:F6"/>
    <mergeCell ref="G6:H6"/>
    <mergeCell ref="E7:F7"/>
    <mergeCell ref="C8:I8"/>
    <mergeCell ref="C10:I10"/>
    <mergeCell ref="Z10:AA10"/>
    <mergeCell ref="E11:H11"/>
    <mergeCell ref="E12:H12"/>
    <mergeCell ref="E13:H13"/>
    <mergeCell ref="E15:H15"/>
    <mergeCell ref="E14:H14"/>
    <mergeCell ref="F28:I28"/>
    <mergeCell ref="E16:H16"/>
    <mergeCell ref="E17:H17"/>
    <mergeCell ref="E18:H18"/>
    <mergeCell ref="E19:H19"/>
    <mergeCell ref="E20:H20"/>
    <mergeCell ref="E27:H27"/>
    <mergeCell ref="C24:I24"/>
    <mergeCell ref="G30:H30"/>
    <mergeCell ref="C31:I31"/>
    <mergeCell ref="N33:Y33"/>
    <mergeCell ref="E26:I26"/>
    <mergeCell ref="M20:Z20"/>
    <mergeCell ref="E21:H21"/>
    <mergeCell ref="E22:H22"/>
    <mergeCell ref="N22:Q23"/>
    <mergeCell ref="S22:Y23"/>
    <mergeCell ref="AA24:AG24"/>
    <mergeCell ref="E25:F25"/>
    <mergeCell ref="S25:U25"/>
    <mergeCell ref="W25:Y25"/>
    <mergeCell ref="G29:I29"/>
    <mergeCell ref="O24:Q24"/>
    <mergeCell ref="S24:Y24"/>
  </mergeCells>
  <phoneticPr fontId="2" type="noConversion"/>
  <conditionalFormatting sqref="B7:H7">
    <cfRule type="cellIs" dxfId="50" priority="30" stopIfTrue="1" operator="equal">
      <formula>"    对不起！服务器版本尚未更新,请稍后查询！"</formula>
    </cfRule>
    <cfRule type="cellIs" dxfId="49" priority="31" stopIfTrue="1" operator="equal">
      <formula>"    小提示:在版本检测前请先确认是否联网!"</formula>
    </cfRule>
    <cfRule type="cellIs" dxfId="48" priority="32" stopIfTrue="1" operator="equal">
      <formula>"    软件又发布新版本了,建议点击下载更新"</formula>
    </cfRule>
    <cfRule type="cellIs" dxfId="47" priority="33" stopIfTrue="1" operator="equal">
      <formula>"    对不起！服务器版本尚未更新,请稍后查询！"</formula>
    </cfRule>
    <cfRule type="cellIs" dxfId="46" priority="34" stopIfTrue="1" operator="equal">
      <formula>"    小提示:在版本检测前请先确认是否联网!"</formula>
    </cfRule>
    <cfRule type="cellIs" dxfId="45" priority="35" stopIfTrue="1" operator="equal">
      <formula>"    软件又发布新版本了,建议点击下载更新"</formula>
    </cfRule>
  </conditionalFormatting>
  <conditionalFormatting sqref="C8:I8">
    <cfRule type="cellIs" dxfId="44" priority="26" stopIfTrue="1" operator="equal">
      <formula>"   Sorry！新大榭云端数据库尚未更新，请稍后查询！"</formula>
    </cfRule>
    <cfRule type="cellIs" dxfId="43" priority="27" stopIfTrue="1" operator="equal">
      <formula>"   小提示:保持良好习惯,建议每月进行1次版本查询!"</formula>
    </cfRule>
    <cfRule type="cellIs" dxfId="42" priority="28" stopIfTrue="1" operator="equal">
      <formula>"   官方发布新版本了,建议点击上方按钮下载更新 ↑"</formula>
    </cfRule>
    <cfRule type="cellIs" dxfId="41" priority="29" stopIfTrue="1" operator="equal">
      <formula>"    小提示:在版本检测前请先确认是否联网!"</formula>
    </cfRule>
  </conditionalFormatting>
  <conditionalFormatting sqref="C31:I31">
    <cfRule type="cellIs" dxfId="40" priority="1" stopIfTrue="1" operator="equal">
      <formula>"    新大榭遗憾地通知您，当前您使用的软件已经失效了！"</formula>
    </cfRule>
    <cfRule type="cellIs" dxfId="39" priority="2" stopIfTrue="1" operator="equal">
      <formula>"    特别提示：当前软件已快失效，请联系作者更新注册码！"</formula>
    </cfRule>
    <cfRule type="cellIs" dxfId="38" priority="23" stopIfTrue="1" operator="equal">
      <formula>"    经查询,当前用户在新大榭网络云端数据库中不存在!"</formula>
    </cfRule>
    <cfRule type="cellIs" dxfId="37" priority="24" stopIfTrue="1" operator="equal">
      <formula>"    新大榭将免费进行到底！我们承诺本世纪软件永久免费！"</formula>
    </cfRule>
    <cfRule type="cellIs" dxfId="36" priority="25" stopIfTrue="1" operator="equal">
      <formula>"    恭喜您！当前用户已通过新大榭官方工作室正版验证！"</formula>
    </cfRule>
  </conditionalFormatting>
  <conditionalFormatting sqref="C31:I31">
    <cfRule type="cellIs" dxfId="35" priority="10" stopIfTrue="1" operator="equal">
      <formula>"    经查询,当前用户在新大榭网络云端数据库中不存在!"</formula>
    </cfRule>
    <cfRule type="cellIs" dxfId="34" priority="11" stopIfTrue="1" operator="equal">
      <formula>"    新大榭将免费进行到底！我们承诺本世纪软件永久免费！"</formula>
    </cfRule>
    <cfRule type="cellIs" dxfId="33" priority="12" stopIfTrue="1" operator="equal">
      <formula>"    恭喜您！当前用户已通过新大榭官方工作室正版验证！"</formula>
    </cfRule>
  </conditionalFormatting>
  <conditionalFormatting sqref="E7:F7">
    <cfRule type="expression" dxfId="32" priority="8">
      <formula>AD8="Old"</formula>
    </cfRule>
    <cfRule type="expression" dxfId="31" priority="9">
      <formula>AD8="NEW"</formula>
    </cfRule>
  </conditionalFormatting>
  <conditionalFormatting sqref="G25">
    <cfRule type="cellIs" dxfId="30" priority="4" stopIfTrue="1" operator="lessThan">
      <formula>30</formula>
    </cfRule>
    <cfRule type="expression" dxfId="29" priority="7" stopIfTrue="1">
      <formula>E25="警告! 当前该软件已过期"</formula>
    </cfRule>
  </conditionalFormatting>
  <conditionalFormatting sqref="E26:I26">
    <cfRule type="expression" dxfId="28" priority="6" stopIfTrue="1">
      <formula>E25="警告! 当前该软件已过期"</formula>
    </cfRule>
  </conditionalFormatting>
  <conditionalFormatting sqref="D25">
    <cfRule type="expression" dxfId="27" priority="3" stopIfTrue="1">
      <formula>G25&lt;30</formula>
    </cfRule>
    <cfRule type="expression" dxfId="26" priority="5" stopIfTrue="1">
      <formula>E25="警告! 当前该软件已过期"</formula>
    </cfRule>
  </conditionalFormatting>
  <dataValidations count="2">
    <dataValidation type="list" allowBlank="1" showInputMessage="1" showErrorMessage="1" sqref="G30:H30">
      <formula1>$AD$11:$AD$22</formula1>
    </dataValidation>
    <dataValidation type="list" allowBlank="1" showInputMessage="1" showErrorMessage="1" sqref="E30">
      <formula1>"2018,2019,2020,2021,2022,2023,2024,2025,2026,2027"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BC150"/>
  <sheetViews>
    <sheetView showGridLines="0" workbookViewId="0">
      <selection activeCell="E27" sqref="E27:H27"/>
    </sheetView>
  </sheetViews>
  <sheetFormatPr defaultColWidth="0" defaultRowHeight="0" customHeight="1" zeroHeight="1"/>
  <cols>
    <col min="1" max="2" width="0.75" style="81" customWidth="1"/>
    <col min="3" max="3" width="8.75" style="82" customWidth="1"/>
    <col min="4" max="4" width="0.75" style="82" customWidth="1"/>
    <col min="5" max="5" width="10.75" style="81" customWidth="1"/>
    <col min="6" max="6" width="7" style="81" customWidth="1"/>
    <col min="7" max="7" width="5.25" style="81" customWidth="1"/>
    <col min="8" max="8" width="3.25" style="81" customWidth="1"/>
    <col min="9" max="9" width="5.625" style="81" customWidth="1"/>
    <col min="10" max="11" width="0.75" style="81" customWidth="1"/>
    <col min="12" max="12" width="3.25" style="81" hidden="1" customWidth="1"/>
    <col min="13" max="13" width="3.625" style="81" hidden="1" customWidth="1"/>
    <col min="14" max="14" width="11.625" style="83" hidden="1" customWidth="1"/>
    <col min="15" max="17" width="7.75" style="83" hidden="1" customWidth="1"/>
    <col min="18" max="18" width="1.75" style="82" hidden="1" customWidth="1"/>
    <col min="19" max="21" width="7.75" style="81" hidden="1" customWidth="1"/>
    <col min="22" max="22" width="12.5" style="82" hidden="1" customWidth="1"/>
    <col min="23" max="25" width="7.75" style="81" hidden="1" customWidth="1"/>
    <col min="26" max="26" width="3.5" style="81" hidden="1" customWidth="1"/>
    <col min="27" max="27" width="18.125" style="84" hidden="1" customWidth="1"/>
    <col min="28" max="28" width="20.375" style="84" hidden="1" customWidth="1"/>
    <col min="29" max="29" width="15.875" style="84" hidden="1" customWidth="1"/>
    <col min="30" max="30" width="10.5" style="84" hidden="1" customWidth="1"/>
    <col min="31" max="31" width="10" style="84" hidden="1" customWidth="1"/>
    <col min="32" max="34" width="7.375" style="84" hidden="1" customWidth="1"/>
    <col min="35" max="35" width="3.375" style="81" hidden="1" customWidth="1"/>
    <col min="36" max="53" width="4.125" style="81" hidden="1" customWidth="1"/>
    <col min="54" max="54" width="9.125" style="81" hidden="1" customWidth="1"/>
    <col min="55" max="55" width="3" style="81" hidden="1" customWidth="1"/>
    <col min="56" max="56" width="4.125" style="81" hidden="1" customWidth="1"/>
    <col min="57" max="16384" width="4.125" style="81" hidden="1"/>
  </cols>
  <sheetData>
    <row r="1" spans="2:54" ht="4.5" customHeight="1"/>
    <row r="2" spans="2:54" ht="4.5" customHeight="1">
      <c r="C2" s="81"/>
      <c r="D2" s="81"/>
      <c r="AA2" s="81"/>
      <c r="AB2" s="81"/>
      <c r="AC2" s="81"/>
      <c r="AD2" s="81"/>
      <c r="AE2" s="81"/>
      <c r="AF2" s="81"/>
      <c r="AG2" s="81"/>
    </row>
    <row r="3" spans="2:54" ht="26.25" customHeight="1">
      <c r="C3" s="301"/>
      <c r="D3" s="301"/>
      <c r="E3" s="301"/>
      <c r="F3" s="301"/>
      <c r="G3" s="301"/>
      <c r="H3" s="301"/>
      <c r="I3" s="301"/>
      <c r="AA3" s="85"/>
      <c r="AB3" s="86"/>
      <c r="AC3" s="87"/>
      <c r="AD3" s="86"/>
      <c r="BB3" s="86"/>
    </row>
    <row r="4" spans="2:54" s="88" customFormat="1" ht="18" customHeight="1">
      <c r="B4" s="81"/>
      <c r="C4" s="7"/>
      <c r="D4" s="7"/>
      <c r="E4" s="312"/>
      <c r="F4" s="312"/>
      <c r="G4" s="312"/>
      <c r="H4" s="312"/>
      <c r="J4" s="81"/>
      <c r="N4" s="89"/>
      <c r="O4" s="89"/>
      <c r="P4" s="89"/>
      <c r="Q4" s="89"/>
      <c r="R4" s="90"/>
      <c r="V4" s="90"/>
      <c r="AA4" s="86"/>
      <c r="AB4" s="86"/>
      <c r="AC4" s="86"/>
      <c r="AD4" s="86"/>
      <c r="AE4" s="84"/>
      <c r="AF4" s="84"/>
      <c r="AG4" s="84"/>
      <c r="AH4" s="84"/>
      <c r="BB4" s="84"/>
    </row>
    <row r="5" spans="2:54" s="88" customFormat="1" ht="18" customHeight="1">
      <c r="B5" s="81"/>
      <c r="C5" s="7"/>
      <c r="D5" s="7"/>
      <c r="E5" s="302"/>
      <c r="F5" s="302"/>
      <c r="G5" s="302"/>
      <c r="H5" s="302"/>
      <c r="I5" s="302"/>
      <c r="J5" s="81"/>
      <c r="N5" s="89"/>
      <c r="O5" s="89"/>
      <c r="P5" s="89"/>
      <c r="Q5" s="89"/>
      <c r="R5" s="90"/>
      <c r="V5" s="90"/>
      <c r="AF5" s="84"/>
      <c r="AG5" s="84"/>
      <c r="AH5" s="84"/>
    </row>
    <row r="6" spans="2:54" s="88" customFormat="1" ht="18" customHeight="1">
      <c r="B6" s="81"/>
      <c r="C6" s="7"/>
      <c r="D6" s="7"/>
      <c r="E6" s="312"/>
      <c r="F6" s="312"/>
      <c r="G6" s="313"/>
      <c r="H6" s="313"/>
      <c r="J6" s="81"/>
      <c r="N6" s="89"/>
      <c r="O6" s="89"/>
      <c r="P6" s="89"/>
      <c r="Q6" s="89"/>
      <c r="R6" s="90"/>
      <c r="V6" s="90"/>
      <c r="AA6" s="86"/>
      <c r="AB6" s="86"/>
      <c r="AC6" s="86"/>
      <c r="AD6" s="86"/>
      <c r="AE6" s="84"/>
      <c r="AF6" s="84"/>
      <c r="AG6" s="84"/>
      <c r="AH6" s="84"/>
    </row>
    <row r="7" spans="2:54" s="88" customFormat="1" ht="18" customHeight="1">
      <c r="B7" s="81"/>
      <c r="C7" s="91"/>
      <c r="D7" s="7"/>
      <c r="E7" s="309"/>
      <c r="F7" s="309"/>
      <c r="G7" s="92"/>
      <c r="J7" s="81"/>
      <c r="N7" s="89"/>
      <c r="O7" s="89"/>
      <c r="P7" s="89"/>
      <c r="Q7" s="89"/>
      <c r="R7" s="90"/>
      <c r="V7" s="90"/>
      <c r="AA7" s="93"/>
      <c r="AB7" s="86"/>
      <c r="AC7" s="86"/>
      <c r="AD7" s="86"/>
      <c r="AE7" s="84"/>
      <c r="AF7" s="84"/>
      <c r="AG7" s="84"/>
      <c r="AH7" s="84"/>
    </row>
    <row r="8" spans="2:54" s="88" customFormat="1" ht="18" customHeight="1">
      <c r="B8" s="81"/>
      <c r="C8" s="310"/>
      <c r="D8" s="310"/>
      <c r="E8" s="310"/>
      <c r="F8" s="310"/>
      <c r="G8" s="310"/>
      <c r="H8" s="310"/>
      <c r="I8" s="310"/>
      <c r="J8" s="81"/>
      <c r="N8" s="89"/>
      <c r="O8" s="89"/>
      <c r="P8" s="89"/>
      <c r="Q8" s="89"/>
      <c r="R8" s="90"/>
      <c r="V8" s="90"/>
      <c r="AA8" s="86"/>
      <c r="AB8" s="86"/>
      <c r="AC8" s="86"/>
      <c r="AD8" s="86"/>
      <c r="AE8" s="84"/>
      <c r="AF8" s="84"/>
      <c r="AG8" s="84"/>
      <c r="AH8" s="84"/>
    </row>
    <row r="9" spans="2:54" ht="3.75" customHeight="1">
      <c r="C9" s="81"/>
      <c r="D9" s="81"/>
      <c r="K9" s="88"/>
    </row>
    <row r="10" spans="2:54" s="88" customFormat="1" ht="26.25" customHeight="1">
      <c r="B10" s="81"/>
      <c r="C10" s="301"/>
      <c r="D10" s="301"/>
      <c r="E10" s="301"/>
      <c r="F10" s="301"/>
      <c r="G10" s="301"/>
      <c r="H10" s="301"/>
      <c r="I10" s="301"/>
      <c r="J10" s="81"/>
      <c r="N10" s="89"/>
      <c r="O10" s="89"/>
      <c r="P10" s="89"/>
      <c r="Q10" s="89"/>
      <c r="R10" s="90"/>
      <c r="V10" s="90"/>
      <c r="Z10" s="311"/>
      <c r="AA10" s="311"/>
      <c r="AB10" s="84"/>
      <c r="AC10" s="84"/>
      <c r="AD10" s="84"/>
      <c r="AE10" s="84"/>
      <c r="AF10" s="84"/>
      <c r="AG10" s="84"/>
      <c r="AH10" s="84"/>
    </row>
    <row r="11" spans="2:54" s="88" customFormat="1" ht="18" customHeight="1">
      <c r="B11" s="81"/>
      <c r="C11" s="7"/>
      <c r="D11" s="7"/>
      <c r="E11" s="302"/>
      <c r="F11" s="302"/>
      <c r="G11" s="302"/>
      <c r="H11" s="302"/>
      <c r="J11" s="81"/>
      <c r="N11" s="89"/>
      <c r="O11" s="89"/>
      <c r="P11" s="89"/>
      <c r="Q11" s="89"/>
      <c r="R11" s="90"/>
      <c r="V11" s="90"/>
      <c r="AA11" s="94"/>
      <c r="AB11" s="84"/>
      <c r="AC11" s="84"/>
      <c r="AD11" s="84"/>
      <c r="AE11" s="84"/>
      <c r="AF11" s="84"/>
      <c r="AG11" s="84"/>
      <c r="AH11" s="84"/>
    </row>
    <row r="12" spans="2:54" s="88" customFormat="1" ht="18" customHeight="1">
      <c r="B12" s="81"/>
      <c r="C12" s="7"/>
      <c r="D12" s="7"/>
      <c r="E12" s="302"/>
      <c r="F12" s="302"/>
      <c r="G12" s="302"/>
      <c r="H12" s="302"/>
      <c r="J12" s="81"/>
      <c r="N12" s="89"/>
      <c r="O12" s="89"/>
      <c r="P12" s="89"/>
      <c r="Q12" s="89"/>
      <c r="R12" s="90"/>
      <c r="V12" s="90"/>
      <c r="AA12" s="94"/>
      <c r="AB12" s="84"/>
      <c r="AC12" s="84"/>
      <c r="AD12" s="84"/>
      <c r="AE12" s="84"/>
      <c r="AF12" s="84"/>
      <c r="AG12" s="84"/>
      <c r="AH12" s="84"/>
    </row>
    <row r="13" spans="2:54" s="88" customFormat="1" ht="18" customHeight="1">
      <c r="B13" s="81"/>
      <c r="C13" s="7"/>
      <c r="D13" s="7"/>
      <c r="E13" s="308"/>
      <c r="F13" s="308"/>
      <c r="G13" s="308"/>
      <c r="H13" s="308"/>
      <c r="J13" s="81"/>
      <c r="N13" s="89"/>
      <c r="O13" s="89"/>
      <c r="P13" s="89"/>
      <c r="Q13" s="89"/>
      <c r="R13" s="90"/>
      <c r="V13" s="90"/>
      <c r="AA13" s="94"/>
      <c r="AB13" s="84"/>
      <c r="AC13" s="84"/>
      <c r="AD13" s="84"/>
      <c r="AE13" s="84"/>
      <c r="AF13" s="84"/>
      <c r="AG13" s="84"/>
      <c r="AH13" s="84"/>
    </row>
    <row r="14" spans="2:54" s="88" customFormat="1" ht="18" customHeight="1">
      <c r="B14" s="81"/>
      <c r="C14" s="7"/>
      <c r="D14" s="7"/>
      <c r="E14" s="303"/>
      <c r="F14" s="303"/>
      <c r="G14" s="303"/>
      <c r="H14" s="303"/>
      <c r="J14" s="81"/>
      <c r="N14" s="89"/>
      <c r="O14" s="89"/>
      <c r="P14" s="89"/>
      <c r="Q14" s="89"/>
      <c r="R14" s="90"/>
      <c r="V14" s="90"/>
      <c r="AA14" s="94"/>
      <c r="AB14" s="84"/>
      <c r="AC14" s="84"/>
      <c r="AD14" s="84"/>
      <c r="AE14" s="84"/>
      <c r="AF14" s="84"/>
      <c r="AG14" s="84"/>
      <c r="AH14" s="84"/>
    </row>
    <row r="15" spans="2:54" s="88" customFormat="1" ht="18" customHeight="1">
      <c r="B15" s="81"/>
      <c r="C15" s="7"/>
      <c r="D15" s="7"/>
      <c r="E15" s="303"/>
      <c r="F15" s="303"/>
      <c r="G15" s="303"/>
      <c r="H15" s="303"/>
      <c r="J15" s="81"/>
      <c r="N15" s="89"/>
      <c r="O15" s="89"/>
      <c r="P15" s="89"/>
      <c r="Q15" s="89"/>
      <c r="R15" s="90"/>
      <c r="V15" s="90"/>
      <c r="AA15" s="94"/>
      <c r="AB15" s="84"/>
      <c r="AC15" s="84"/>
      <c r="AD15" s="84"/>
      <c r="AE15" s="84"/>
      <c r="AF15" s="84"/>
      <c r="AG15" s="84"/>
      <c r="AH15" s="84"/>
    </row>
    <row r="16" spans="2:54" s="88" customFormat="1" ht="18" customHeight="1">
      <c r="B16" s="81"/>
      <c r="C16" s="7"/>
      <c r="D16" s="7"/>
      <c r="J16" s="81"/>
      <c r="N16" s="89"/>
      <c r="O16" s="89"/>
      <c r="P16" s="89"/>
      <c r="Q16" s="89"/>
      <c r="R16" s="90"/>
      <c r="V16" s="90"/>
      <c r="AA16" s="94"/>
      <c r="AB16" s="84"/>
      <c r="AC16" s="84"/>
      <c r="AD16" s="84"/>
      <c r="AE16" s="84"/>
      <c r="AF16" s="84"/>
      <c r="AG16" s="84"/>
      <c r="AH16" s="84"/>
    </row>
    <row r="17" spans="2:34" s="88" customFormat="1" ht="18" customHeight="1">
      <c r="B17" s="81"/>
      <c r="C17" s="7"/>
      <c r="D17" s="7"/>
      <c r="E17" s="302"/>
      <c r="F17" s="302"/>
      <c r="G17" s="302"/>
      <c r="H17" s="302"/>
      <c r="J17" s="81"/>
      <c r="N17" s="89"/>
      <c r="O17" s="89"/>
      <c r="P17" s="89"/>
      <c r="Q17" s="89"/>
      <c r="R17" s="90"/>
      <c r="V17" s="90"/>
      <c r="AA17" s="94"/>
      <c r="AB17" s="84"/>
      <c r="AC17" s="84"/>
      <c r="AD17" s="84"/>
      <c r="AE17" s="84"/>
      <c r="AF17" s="84"/>
      <c r="AG17" s="84"/>
      <c r="AH17" s="84"/>
    </row>
    <row r="18" spans="2:34" s="88" customFormat="1" ht="18" customHeight="1">
      <c r="B18" s="81"/>
      <c r="C18" s="7"/>
      <c r="D18" s="7"/>
      <c r="E18" s="302"/>
      <c r="F18" s="302"/>
      <c r="G18" s="302"/>
      <c r="H18" s="302"/>
      <c r="J18" s="81"/>
      <c r="N18" s="89"/>
      <c r="O18" s="89"/>
      <c r="P18" s="89"/>
      <c r="Q18" s="89"/>
      <c r="R18" s="90"/>
      <c r="V18" s="90"/>
      <c r="AA18" s="94"/>
      <c r="AB18" s="84"/>
      <c r="AC18" s="84"/>
      <c r="AD18" s="84"/>
      <c r="AE18" s="84"/>
      <c r="AF18" s="84"/>
      <c r="AG18" s="84"/>
      <c r="AH18" s="84"/>
    </row>
    <row r="19" spans="2:34" s="88" customFormat="1" ht="18" customHeight="1">
      <c r="B19" s="81"/>
      <c r="C19" s="7"/>
      <c r="D19" s="7"/>
      <c r="E19" s="303"/>
      <c r="F19" s="303"/>
      <c r="G19" s="303"/>
      <c r="H19" s="303"/>
      <c r="J19" s="81"/>
      <c r="AA19" s="84"/>
      <c r="AB19" s="84"/>
      <c r="AC19" s="84"/>
      <c r="AD19" s="84"/>
      <c r="AE19" s="84"/>
      <c r="AF19" s="84"/>
      <c r="AG19" s="84"/>
      <c r="AH19" s="84"/>
    </row>
    <row r="20" spans="2:34" s="88" customFormat="1" ht="18" customHeight="1">
      <c r="B20" s="81"/>
      <c r="C20" s="7"/>
      <c r="D20" s="7"/>
      <c r="E20" s="302"/>
      <c r="F20" s="302"/>
      <c r="G20" s="302"/>
      <c r="H20" s="302"/>
      <c r="J20" s="81"/>
      <c r="M20" s="306"/>
      <c r="N20" s="306"/>
      <c r="O20" s="306"/>
      <c r="P20" s="306"/>
      <c r="Q20" s="306"/>
      <c r="R20" s="306"/>
      <c r="S20" s="306"/>
      <c r="T20" s="306"/>
      <c r="U20" s="306"/>
      <c r="V20" s="306"/>
      <c r="W20" s="306"/>
      <c r="X20" s="306"/>
      <c r="Y20" s="306"/>
      <c r="Z20" s="306"/>
      <c r="AA20" s="84"/>
      <c r="AB20" s="84"/>
      <c r="AC20" s="84"/>
      <c r="AD20" s="84"/>
      <c r="AE20" s="84"/>
      <c r="AF20" s="84"/>
      <c r="AG20" s="84"/>
      <c r="AH20" s="84"/>
    </row>
    <row r="21" spans="2:34" s="88" customFormat="1" ht="18" customHeight="1">
      <c r="B21" s="81"/>
      <c r="C21" s="7"/>
      <c r="D21" s="7"/>
      <c r="E21" s="302"/>
      <c r="F21" s="302"/>
      <c r="G21" s="302"/>
      <c r="H21" s="302"/>
      <c r="J21" s="81"/>
      <c r="N21" s="89"/>
      <c r="O21" s="89"/>
      <c r="P21" s="89"/>
      <c r="Q21" s="89"/>
      <c r="R21" s="90"/>
      <c r="S21" s="90"/>
      <c r="T21" s="90"/>
      <c r="U21" s="90"/>
      <c r="V21" s="90"/>
      <c r="W21" s="90"/>
      <c r="X21" s="90"/>
      <c r="Y21" s="90"/>
      <c r="AA21" s="84"/>
      <c r="AB21" s="84"/>
      <c r="AC21" s="84"/>
      <c r="AD21" s="84"/>
      <c r="AE21" s="84"/>
      <c r="AF21" s="84"/>
      <c r="AG21" s="84"/>
      <c r="AH21" s="84"/>
    </row>
    <row r="22" spans="2:34" s="88" customFormat="1" ht="18" customHeight="1">
      <c r="B22" s="81"/>
      <c r="C22" s="7"/>
      <c r="D22" s="7"/>
      <c r="E22" s="302"/>
      <c r="F22" s="302"/>
      <c r="G22" s="302"/>
      <c r="H22" s="302"/>
      <c r="J22" s="81"/>
      <c r="N22" s="307"/>
      <c r="O22" s="307"/>
      <c r="P22" s="307"/>
      <c r="Q22" s="307"/>
      <c r="R22" s="90"/>
      <c r="S22" s="307"/>
      <c r="T22" s="307"/>
      <c r="U22" s="307"/>
      <c r="V22" s="307"/>
      <c r="W22" s="307"/>
      <c r="X22" s="307"/>
      <c r="Y22" s="307"/>
      <c r="AA22" s="95"/>
      <c r="AB22" s="95"/>
      <c r="AC22" s="96"/>
      <c r="AD22" s="84"/>
      <c r="AE22" s="84"/>
      <c r="AF22" s="84"/>
      <c r="AG22" s="84"/>
      <c r="AH22" s="84"/>
    </row>
    <row r="23" spans="2:34" ht="4.5" customHeight="1">
      <c r="C23" s="81"/>
      <c r="D23" s="81"/>
      <c r="K23" s="88"/>
      <c r="N23" s="307"/>
      <c r="O23" s="307"/>
      <c r="P23" s="307"/>
      <c r="Q23" s="307"/>
      <c r="R23" s="90"/>
      <c r="S23" s="307"/>
      <c r="T23" s="307"/>
      <c r="U23" s="307"/>
      <c r="V23" s="307"/>
      <c r="W23" s="307"/>
      <c r="X23" s="307"/>
      <c r="Y23" s="307"/>
    </row>
    <row r="24" spans="2:34" ht="26.25" customHeight="1">
      <c r="C24" s="301"/>
      <c r="D24" s="301"/>
      <c r="E24" s="301"/>
      <c r="F24" s="301"/>
      <c r="G24" s="301"/>
      <c r="H24" s="301"/>
      <c r="I24" s="301"/>
      <c r="K24" s="88"/>
      <c r="L24" s="88"/>
      <c r="M24" s="88"/>
      <c r="N24" s="79"/>
      <c r="O24" s="304"/>
      <c r="P24" s="304"/>
      <c r="Q24" s="304"/>
      <c r="R24" s="90"/>
      <c r="S24" s="297"/>
      <c r="T24" s="297"/>
      <c r="U24" s="297"/>
      <c r="V24" s="297"/>
      <c r="W24" s="297"/>
      <c r="X24" s="297"/>
      <c r="Y24" s="297"/>
      <c r="Z24" s="88"/>
      <c r="AA24" s="295"/>
      <c r="AB24" s="295"/>
      <c r="AC24" s="295"/>
      <c r="AD24" s="295"/>
      <c r="AE24" s="295"/>
      <c r="AF24" s="295"/>
      <c r="AG24" s="295"/>
    </row>
    <row r="25" spans="2:34" ht="18" customHeight="1">
      <c r="C25" s="7"/>
      <c r="D25" s="7"/>
      <c r="E25" s="296"/>
      <c r="F25" s="296"/>
      <c r="G25" s="97"/>
      <c r="H25" s="98"/>
      <c r="I25" s="88"/>
      <c r="K25" s="88"/>
      <c r="N25" s="99"/>
      <c r="O25" s="79"/>
      <c r="P25" s="79"/>
      <c r="Q25" s="79"/>
      <c r="R25" s="90"/>
      <c r="S25" s="297"/>
      <c r="T25" s="297"/>
      <c r="U25" s="297"/>
      <c r="V25" s="79"/>
      <c r="W25" s="297"/>
      <c r="X25" s="297"/>
      <c r="Y25" s="297"/>
      <c r="AA25" s="95"/>
      <c r="AB25" s="86"/>
      <c r="AC25" s="86"/>
      <c r="AD25" s="86"/>
      <c r="AE25" s="86"/>
      <c r="AF25" s="86"/>
      <c r="AG25" s="86"/>
    </row>
    <row r="26" spans="2:34" ht="18" customHeight="1">
      <c r="C26" s="7"/>
      <c r="D26" s="7"/>
      <c r="E26" s="298"/>
      <c r="F26" s="298"/>
      <c r="G26" s="298"/>
      <c r="H26" s="298"/>
      <c r="I26" s="298"/>
      <c r="K26" s="88"/>
      <c r="N26" s="79"/>
      <c r="O26" s="100"/>
      <c r="P26" s="100"/>
      <c r="Q26" s="100"/>
      <c r="R26" s="90"/>
      <c r="S26" s="79"/>
      <c r="T26" s="79"/>
      <c r="U26" s="79"/>
      <c r="V26" s="85"/>
      <c r="W26" s="79"/>
      <c r="X26" s="79"/>
      <c r="Y26" s="79"/>
      <c r="AA26" s="95"/>
      <c r="AB26" s="86"/>
      <c r="AC26" s="86"/>
      <c r="AD26" s="86"/>
      <c r="AE26" s="86"/>
      <c r="AF26" s="86"/>
      <c r="AG26" s="86"/>
    </row>
    <row r="27" spans="2:34" ht="18" customHeight="1">
      <c r="C27" s="7"/>
      <c r="D27" s="7"/>
      <c r="E27" s="299"/>
      <c r="F27" s="300"/>
      <c r="G27" s="300"/>
      <c r="H27" s="300"/>
      <c r="I27" s="101"/>
      <c r="N27" s="79"/>
      <c r="O27" s="100"/>
      <c r="P27" s="100"/>
      <c r="Q27" s="100"/>
      <c r="R27" s="81"/>
      <c r="S27" s="100"/>
      <c r="T27" s="100"/>
      <c r="U27" s="100"/>
      <c r="V27" s="102"/>
      <c r="W27" s="100"/>
      <c r="X27" s="100"/>
      <c r="Y27" s="100"/>
      <c r="AA27" s="95"/>
      <c r="AB27" s="86"/>
      <c r="AC27" s="86"/>
      <c r="AD27" s="86"/>
      <c r="AE27" s="86"/>
      <c r="AF27" s="86"/>
      <c r="AG27" s="86"/>
    </row>
    <row r="28" spans="2:34" ht="18" customHeight="1">
      <c r="C28" s="7"/>
      <c r="D28" s="7"/>
      <c r="E28" s="305"/>
      <c r="F28" s="305"/>
      <c r="G28" s="305"/>
      <c r="H28" s="305"/>
      <c r="I28" s="103"/>
      <c r="N28" s="79"/>
      <c r="O28" s="100"/>
      <c r="P28" s="100"/>
      <c r="Q28" s="100"/>
      <c r="R28" s="81"/>
      <c r="S28" s="99"/>
      <c r="T28" s="99"/>
      <c r="U28" s="99"/>
      <c r="V28" s="102"/>
      <c r="W28" s="99"/>
      <c r="X28" s="99"/>
      <c r="Y28" s="99"/>
    </row>
    <row r="29" spans="2:34" ht="18" customHeight="1">
      <c r="C29" s="7"/>
      <c r="D29" s="7"/>
      <c r="E29" s="104"/>
      <c r="F29" s="105"/>
      <c r="G29" s="292"/>
      <c r="H29" s="292"/>
      <c r="I29" s="106"/>
      <c r="N29" s="79"/>
      <c r="O29" s="100"/>
      <c r="P29" s="100"/>
      <c r="Q29" s="100"/>
      <c r="R29" s="81"/>
      <c r="S29" s="99"/>
      <c r="T29" s="99"/>
      <c r="U29" s="99"/>
      <c r="V29" s="102"/>
      <c r="W29" s="99"/>
      <c r="X29" s="99"/>
      <c r="Y29" s="99"/>
    </row>
    <row r="30" spans="2:34" ht="18" customHeight="1">
      <c r="C30" s="293"/>
      <c r="D30" s="293"/>
      <c r="E30" s="293"/>
      <c r="F30" s="293"/>
      <c r="G30" s="293"/>
      <c r="H30" s="293"/>
      <c r="I30" s="293"/>
      <c r="L30" s="107"/>
      <c r="N30" s="108"/>
      <c r="O30" s="109"/>
      <c r="P30" s="109"/>
      <c r="Q30" s="109"/>
      <c r="R30" s="81"/>
      <c r="S30" s="109"/>
      <c r="T30" s="109"/>
      <c r="U30" s="109"/>
      <c r="V30" s="108"/>
      <c r="W30" s="109"/>
      <c r="X30" s="109"/>
      <c r="Y30" s="109"/>
    </row>
    <row r="31" spans="2:34" ht="4.5" customHeight="1">
      <c r="C31" s="7"/>
      <c r="D31" s="7"/>
      <c r="E31" s="80"/>
      <c r="F31" s="80"/>
      <c r="G31" s="80"/>
      <c r="H31" s="80"/>
      <c r="I31" s="80"/>
    </row>
    <row r="32" spans="2:34" ht="4.5" customHeight="1">
      <c r="C32" s="81"/>
      <c r="D32" s="81"/>
      <c r="N32" s="294"/>
      <c r="O32" s="294"/>
      <c r="P32" s="294"/>
      <c r="Q32" s="294"/>
      <c r="R32" s="294"/>
      <c r="S32" s="294"/>
      <c r="T32" s="294"/>
      <c r="U32" s="294"/>
      <c r="V32" s="294"/>
      <c r="W32" s="294"/>
      <c r="X32" s="294"/>
      <c r="Y32" s="294"/>
    </row>
    <row r="33" ht="14.25" hidden="1" customHeight="1"/>
    <row r="34" ht="14.25" hidden="1" customHeight="1"/>
    <row r="35" ht="13.5" hidden="1" customHeight="1"/>
    <row r="36" ht="13.5" hidden="1" customHeight="1"/>
    <row r="37" ht="13.5" hidden="1" customHeight="1"/>
    <row r="38" ht="13.5" hidden="1" customHeight="1"/>
    <row r="39" ht="13.5" hidden="1" customHeight="1"/>
    <row r="40" ht="13.5" hidden="1" customHeight="1"/>
    <row r="41" ht="13.5" hidden="1" customHeight="1"/>
    <row r="42" ht="13.5" hidden="1" customHeight="1"/>
    <row r="43" ht="13.5" hidden="1" customHeight="1"/>
    <row r="44" ht="13.5" hidden="1" customHeight="1"/>
    <row r="45" ht="13.5" hidden="1" customHeight="1"/>
    <row r="46" ht="13.5" hidden="1" customHeight="1"/>
    <row r="47" ht="13.5" hidden="1" customHeight="1"/>
    <row r="48" ht="13.5" hidden="1" customHeight="1"/>
    <row r="49" ht="13.5" hidden="1" customHeight="1"/>
    <row r="50" ht="13.5" hidden="1" customHeight="1"/>
    <row r="51" ht="13.5" hidden="1" customHeight="1"/>
    <row r="52" ht="13.5" hidden="1" customHeight="1"/>
    <row r="53" ht="13.5" hidden="1" customHeight="1"/>
    <row r="54" ht="13.5" hidden="1" customHeight="1"/>
    <row r="55" ht="13.5" hidden="1" customHeight="1"/>
    <row r="56" ht="13.5" hidden="1" customHeight="1"/>
    <row r="57" ht="13.5" hidden="1" customHeight="1"/>
    <row r="58" ht="13.5" hidden="1" customHeight="1"/>
    <row r="59" ht="13.5" hidden="1" customHeight="1"/>
    <row r="60" ht="13.5" hidden="1" customHeight="1"/>
    <row r="61" ht="13.5" hidden="1" customHeight="1"/>
    <row r="62" ht="13.5" hidden="1" customHeight="1"/>
    <row r="63" ht="13.5" hidden="1" customHeight="1"/>
    <row r="64" ht="13.5" hidden="1" customHeight="1"/>
    <row r="65" ht="13.5" hidden="1" customHeight="1"/>
    <row r="66" ht="13.5" hidden="1" customHeight="1"/>
    <row r="67" ht="13.5" hidden="1" customHeight="1"/>
    <row r="68" ht="13.5" hidden="1" customHeight="1"/>
    <row r="69" ht="13.5" hidden="1" customHeight="1"/>
    <row r="70" ht="13.5" hidden="1" customHeight="1"/>
    <row r="71" ht="13.5" hidden="1" customHeight="1"/>
    <row r="72" ht="13.5" hidden="1" customHeight="1"/>
    <row r="73" ht="13.5" hidden="1" customHeight="1"/>
    <row r="74" ht="13.5" hidden="1" customHeight="1"/>
    <row r="75" ht="13.5" hidden="1" customHeight="1"/>
    <row r="76" ht="13.5" hidden="1" customHeight="1"/>
    <row r="77" ht="13.5" hidden="1" customHeight="1"/>
    <row r="78" ht="13.5" hidden="1" customHeight="1"/>
    <row r="79" ht="13.5" hidden="1" customHeight="1"/>
    <row r="80" ht="13.5" hidden="1" customHeight="1"/>
    <row r="81" ht="13.5" hidden="1" customHeight="1"/>
    <row r="82" ht="13.5" hidden="1" customHeight="1"/>
    <row r="83" ht="13.5" hidden="1" customHeight="1"/>
    <row r="84" ht="13.5" hidden="1" customHeight="1"/>
    <row r="85" ht="13.5" hidden="1" customHeight="1"/>
    <row r="86" ht="13.5" hidden="1" customHeight="1"/>
    <row r="87" ht="13.5" hidden="1" customHeight="1"/>
    <row r="88" ht="13.5" hidden="1" customHeight="1"/>
    <row r="89" ht="13.5" hidden="1" customHeight="1"/>
    <row r="90" ht="13.5" hidden="1" customHeight="1"/>
    <row r="91" ht="13.5" hidden="1" customHeight="1"/>
    <row r="92" ht="13.5" hidden="1" customHeight="1"/>
    <row r="93" ht="13.5" hidden="1" customHeight="1"/>
    <row r="94" ht="13.5" hidden="1" customHeight="1"/>
    <row r="95" ht="13.5" hidden="1" customHeight="1"/>
    <row r="96" ht="13.5" hidden="1" customHeight="1"/>
    <row r="97" ht="13.5" hidden="1" customHeight="1"/>
    <row r="98" ht="13.5" hidden="1" customHeight="1"/>
    <row r="99" ht="13.5" hidden="1" customHeight="1"/>
    <row r="100" ht="13.5" hidden="1" customHeight="1"/>
    <row r="101" ht="13.5" hidden="1" customHeight="1"/>
    <row r="102" ht="13.5" hidden="1" customHeight="1"/>
    <row r="103" ht="13.5" hidden="1" customHeight="1"/>
    <row r="104" ht="13.5" hidden="1" customHeight="1"/>
    <row r="105" ht="16.5" hidden="1" customHeight="1"/>
    <row r="106" ht="13.5" hidden="1" customHeight="1"/>
    <row r="107" ht="13.5" hidden="1" customHeight="1"/>
    <row r="108" ht="13.5" hidden="1" customHeight="1"/>
    <row r="109" ht="13.5" hidden="1" customHeight="1"/>
    <row r="110" ht="13.5" hidden="1" customHeight="1"/>
    <row r="111" ht="13.5" hidden="1" customHeight="1"/>
    <row r="112" ht="13.5" hidden="1" customHeight="1"/>
    <row r="113" ht="13.5" hidden="1" customHeight="1"/>
    <row r="114" ht="13.5" hidden="1" customHeight="1"/>
    <row r="115" ht="13.5" hidden="1" customHeight="1"/>
    <row r="116" ht="13.5" hidden="1" customHeight="1"/>
    <row r="117" ht="13.5" hidden="1" customHeight="1"/>
    <row r="118" ht="13.5" hidden="1" customHeight="1"/>
    <row r="119" ht="13.5" hidden="1" customHeight="1"/>
    <row r="120" ht="13.5" hidden="1" customHeight="1"/>
    <row r="121" ht="13.5" hidden="1" customHeight="1"/>
    <row r="122" ht="13.5" hidden="1" customHeight="1"/>
    <row r="123" ht="13.5" hidden="1" customHeight="1"/>
    <row r="124" ht="13.5" hidden="1" customHeight="1"/>
    <row r="125" ht="13.5" hidden="1" customHeight="1"/>
    <row r="126" ht="13.5" hidden="1" customHeight="1"/>
    <row r="127" ht="13.5" hidden="1" customHeight="1"/>
    <row r="128" ht="13.5" hidden="1" customHeight="1"/>
    <row r="129" ht="13.5" hidden="1" customHeight="1"/>
    <row r="130" ht="13.5" hidden="1" customHeight="1"/>
    <row r="131" ht="13.5" hidden="1" customHeight="1"/>
    <row r="132" ht="13.5" hidden="1" customHeight="1"/>
    <row r="133" ht="13.5" hidden="1" customHeight="1"/>
    <row r="134" ht="13.5" hidden="1" customHeight="1"/>
    <row r="135" ht="13.5" hidden="1" customHeight="1"/>
    <row r="136" ht="13.5" hidden="1" customHeight="1"/>
    <row r="137" ht="13.5" hidden="1" customHeight="1"/>
    <row r="138" ht="13.5" hidden="1" customHeight="1"/>
    <row r="139" ht="13.5" hidden="1" customHeight="1"/>
    <row r="140" ht="13.5" hidden="1" customHeight="1"/>
    <row r="141" ht="13.5" hidden="1" customHeight="1"/>
    <row r="142" ht="13.5" hidden="1" customHeight="1"/>
    <row r="143" ht="13.5" hidden="1" customHeight="1"/>
    <row r="144" ht="13.5" hidden="1" customHeight="1"/>
    <row r="145" ht="13.5" hidden="1" customHeight="1"/>
    <row r="146" ht="13.5" hidden="1" customHeight="1"/>
    <row r="147" ht="13.5" hidden="1" customHeight="1"/>
    <row r="148" ht="13.5" hidden="1" customHeight="1"/>
    <row r="149" ht="13.5" hidden="1" customHeight="1"/>
    <row r="150" ht="13.5" hidden="1" customHeight="1"/>
  </sheetData>
  <sheetProtection sheet="1" objects="1" scenarios="1" selectLockedCells="1"/>
  <mergeCells count="36">
    <mergeCell ref="C3:I3"/>
    <mergeCell ref="E4:H4"/>
    <mergeCell ref="E5:I5"/>
    <mergeCell ref="E6:F6"/>
    <mergeCell ref="G6:H6"/>
    <mergeCell ref="E7:F7"/>
    <mergeCell ref="C8:I8"/>
    <mergeCell ref="C10:I10"/>
    <mergeCell ref="Z10:AA10"/>
    <mergeCell ref="E11:H11"/>
    <mergeCell ref="E12:H12"/>
    <mergeCell ref="E13:H13"/>
    <mergeCell ref="E14:H14"/>
    <mergeCell ref="E15:H15"/>
    <mergeCell ref="E17:H17"/>
    <mergeCell ref="E18:H18"/>
    <mergeCell ref="E19:H19"/>
    <mergeCell ref="O24:Q24"/>
    <mergeCell ref="S24:Y24"/>
    <mergeCell ref="E28:H28"/>
    <mergeCell ref="E20:H20"/>
    <mergeCell ref="M20:Z20"/>
    <mergeCell ref="E21:H21"/>
    <mergeCell ref="E22:H22"/>
    <mergeCell ref="N22:Q23"/>
    <mergeCell ref="S22:Y23"/>
    <mergeCell ref="G29:H29"/>
    <mergeCell ref="C30:I30"/>
    <mergeCell ref="N32:Y32"/>
    <mergeCell ref="AA24:AG24"/>
    <mergeCell ref="E25:F25"/>
    <mergeCell ref="S25:U25"/>
    <mergeCell ref="W25:Y25"/>
    <mergeCell ref="E26:I26"/>
    <mergeCell ref="E27:H27"/>
    <mergeCell ref="C24:I24"/>
  </mergeCells>
  <phoneticPr fontId="2" type="noConversion"/>
  <conditionalFormatting sqref="B7:H7">
    <cfRule type="cellIs" dxfId="25" priority="21" stopIfTrue="1" operator="equal">
      <formula>"    对不起！服务器版本尚未更新,请稍后查询！"</formula>
    </cfRule>
    <cfRule type="cellIs" dxfId="24" priority="22" stopIfTrue="1" operator="equal">
      <formula>"    小提示:在版本检测前请先确认是否联网!"</formula>
    </cfRule>
    <cfRule type="cellIs" dxfId="23" priority="23" stopIfTrue="1" operator="equal">
      <formula>"    软件又发布新版本了,建议点击下载更新"</formula>
    </cfRule>
    <cfRule type="cellIs" dxfId="22" priority="24" stopIfTrue="1" operator="equal">
      <formula>"    对不起！服务器版本尚未更新,请稍后查询！"</formula>
    </cfRule>
    <cfRule type="cellIs" dxfId="21" priority="25" stopIfTrue="1" operator="equal">
      <formula>"    小提示:在版本检测前请先确认是否联网!"</formula>
    </cfRule>
    <cfRule type="cellIs" dxfId="20" priority="26" stopIfTrue="1" operator="equal">
      <formula>"    软件又发布新版本了,建议点击下载更新"</formula>
    </cfRule>
  </conditionalFormatting>
  <conditionalFormatting sqref="C8:I8">
    <cfRule type="cellIs" dxfId="19" priority="17" stopIfTrue="1" operator="equal">
      <formula>"   Sorry！新大榭云端数据库尚未更新，请稍后查询！"</formula>
    </cfRule>
    <cfRule type="cellIs" dxfId="18" priority="18" stopIfTrue="1" operator="equal">
      <formula>"   小提示:保持良好习惯,建议每月进行1次版本查询!"</formula>
    </cfRule>
    <cfRule type="cellIs" dxfId="17" priority="19" stopIfTrue="1" operator="equal">
      <formula>"   官方发布新版本了,建议点击上方按钮下载更新 ↑"</formula>
    </cfRule>
    <cfRule type="cellIs" dxfId="16" priority="20" stopIfTrue="1" operator="equal">
      <formula>"    小提示:在版本检测前请先确认是否联网!"</formula>
    </cfRule>
  </conditionalFormatting>
  <conditionalFormatting sqref="C30:I30">
    <cfRule type="cellIs" dxfId="15" priority="14" stopIfTrue="1" operator="equal">
      <formula>"    经查询,当前用户在新大榭网络云端数据库中不存在!"</formula>
    </cfRule>
    <cfRule type="cellIs" dxfId="14" priority="15" stopIfTrue="1" operator="equal">
      <formula>"    新大榭将免费进行到底！我们承诺本世纪软件永久免费！"</formula>
    </cfRule>
    <cfRule type="cellIs" dxfId="13" priority="16" stopIfTrue="1" operator="equal">
      <formula>"    恭喜您！当前用户已通过新大榭官方工作室正版验证！"</formula>
    </cfRule>
  </conditionalFormatting>
  <conditionalFormatting sqref="B7:H7">
    <cfRule type="cellIs" dxfId="12" priority="8" stopIfTrue="1" operator="equal">
      <formula>"    对不起！服务器版本尚未更新,请稍后查询！"</formula>
    </cfRule>
    <cfRule type="cellIs" dxfId="11" priority="9" stopIfTrue="1" operator="equal">
      <formula>"    小提示:在版本检测前请先确认是否联网!"</formula>
    </cfRule>
    <cfRule type="cellIs" dxfId="10" priority="10" stopIfTrue="1" operator="equal">
      <formula>"    软件又发布新版本了,建议点击下载更新"</formula>
    </cfRule>
    <cfRule type="cellIs" dxfId="9" priority="11" stopIfTrue="1" operator="equal">
      <formula>"    对不起！服务器版本尚未更新,请稍后查询！"</formula>
    </cfRule>
    <cfRule type="cellIs" dxfId="8" priority="12" stopIfTrue="1" operator="equal">
      <formula>"    小提示:在版本检测前请先确认是否联网!"</formula>
    </cfRule>
    <cfRule type="cellIs" dxfId="7" priority="13" stopIfTrue="1" operator="equal">
      <formula>"    软件又发布新版本了,建议点击下载更新"</formula>
    </cfRule>
  </conditionalFormatting>
  <conditionalFormatting sqref="C8:I8">
    <cfRule type="cellIs" dxfId="6" priority="4" stopIfTrue="1" operator="equal">
      <formula>"   Sorry！新大榭云端数据库尚未更新，请稍后查询！"</formula>
    </cfRule>
    <cfRule type="cellIs" dxfId="5" priority="5" stopIfTrue="1" operator="equal">
      <formula>"   小提示:保持良好习惯,建议每月进行1次版本查询!"</formula>
    </cfRule>
    <cfRule type="cellIs" dxfId="4" priority="6" stopIfTrue="1" operator="equal">
      <formula>"   官方发布新版本了,建议点击上方按钮下载更新 ↑"</formula>
    </cfRule>
    <cfRule type="cellIs" dxfId="3" priority="7" stopIfTrue="1" operator="equal">
      <formula>"    小提示:在版本检测前请先确认是否联网!"</formula>
    </cfRule>
  </conditionalFormatting>
  <conditionalFormatting sqref="C30:I30">
    <cfRule type="cellIs" dxfId="2" priority="1" stopIfTrue="1" operator="equal">
      <formula>"    经查询,当前用户在新大榭网络云端数据库中不存在!"</formula>
    </cfRule>
    <cfRule type="cellIs" dxfId="1" priority="2" stopIfTrue="1" operator="equal">
      <formula>"    新大榭将免费进行到底！我们承诺本世纪软件永久免费！"</formula>
    </cfRule>
    <cfRule type="cellIs" dxfId="0" priority="3" stopIfTrue="1" operator="equal">
      <formula>"    恭喜您！当前用户已通过新大榭官方工作室正版验证！"</formula>
    </cfRule>
  </conditionalFormatting>
  <dataValidations count="2">
    <dataValidation type="list" allowBlank="1" showInputMessage="1" showErrorMessage="1" sqref="E29">
      <formula1>"2019,2020,2021,2022,2023,2024"</formula1>
    </dataValidation>
    <dataValidation type="list" allowBlank="1" showInputMessage="1" showErrorMessage="1" sqref="G29:H29">
      <formula1>"1,2,3,4,5,6,7,8,9,10,11,12"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0000"/>
  </sheetPr>
  <dimension ref="A1:J49"/>
  <sheetViews>
    <sheetView showGridLines="0" showRowColHeaders="0" zoomScaleNormal="100" workbookViewId="0">
      <selection activeCell="C5" sqref="C5"/>
    </sheetView>
  </sheetViews>
  <sheetFormatPr defaultColWidth="0" defaultRowHeight="14.25" zeroHeight="1"/>
  <cols>
    <col min="1" max="1" width="1" style="192" customWidth="1"/>
    <col min="2" max="2" width="1.125" style="192" customWidth="1"/>
    <col min="3" max="3" width="25.625" style="1" customWidth="1"/>
    <col min="4" max="4" width="15.875" style="192" customWidth="1"/>
    <col min="5" max="6" width="15.125" style="192" customWidth="1"/>
    <col min="7" max="7" width="1" style="192" customWidth="1"/>
    <col min="8" max="8" width="1.125" style="192" customWidth="1"/>
    <col min="9" max="10" width="0" style="192" hidden="1" customWidth="1"/>
    <col min="11" max="16384" width="9" style="192" hidden="1"/>
  </cols>
  <sheetData>
    <row r="1" spans="1:8" ht="6.75" customHeight="1">
      <c r="A1" s="191"/>
      <c r="B1" s="191"/>
      <c r="C1" s="191"/>
      <c r="D1" s="191"/>
      <c r="E1" s="191"/>
      <c r="F1" s="191"/>
      <c r="G1" s="191"/>
      <c r="H1" s="191"/>
    </row>
    <row r="2" spans="1:8" ht="6.75" customHeight="1">
      <c r="A2" s="191"/>
      <c r="B2" s="193"/>
      <c r="C2" s="193"/>
      <c r="D2" s="193"/>
      <c r="E2" s="193"/>
      <c r="F2" s="193"/>
      <c r="G2" s="193"/>
      <c r="H2" s="191"/>
    </row>
    <row r="3" spans="1:8" ht="12" customHeight="1" thickBot="1">
      <c r="A3" s="191"/>
      <c r="C3" s="194"/>
      <c r="D3" s="195"/>
      <c r="E3" s="196"/>
      <c r="F3" s="196"/>
      <c r="H3" s="191"/>
    </row>
    <row r="4" spans="1:8" ht="30" customHeight="1">
      <c r="A4" s="191"/>
      <c r="C4" s="197" t="s">
        <v>125</v>
      </c>
      <c r="D4" s="198" t="s">
        <v>126</v>
      </c>
      <c r="E4" s="198" t="s">
        <v>127</v>
      </c>
      <c r="F4" s="199" t="s">
        <v>128</v>
      </c>
      <c r="H4" s="191"/>
    </row>
    <row r="5" spans="1:8" ht="30" customHeight="1" thickBot="1">
      <c r="A5" s="191"/>
      <c r="C5" s="200">
        <v>10000</v>
      </c>
      <c r="D5" s="201">
        <f>IF(C5&gt;E17,((C5-E17)*D17)+F17,IF(C5&gt;E16,((C5-E16)*D16)+F16,IF(C5&gt;E15,((C5-E15)*D15)+F15,IF(C5&gt;E14,((C5-E14)*D14)+F14,IF(C5&gt;E13,((C5-E13)*D13)+F13,IF(C5&gt;E12,((C5-E12)*D12)+F12,IF(C5&gt;E11,((C5-E11)*D11)+F11,IF(C5&gt;E10,((C5-E10)*D10)+F10,IF(C5&gt;E9,((C5-E9)*D9)+F9,50)))))))))</f>
        <v>50</v>
      </c>
      <c r="E5" s="202">
        <f>D5/2</f>
        <v>25</v>
      </c>
      <c r="F5" s="203">
        <f>D5/3</f>
        <v>16.666666666666668</v>
      </c>
      <c r="H5" s="191"/>
    </row>
    <row r="6" spans="1:8" ht="4.5" customHeight="1" thickBot="1">
      <c r="A6" s="191"/>
      <c r="C6" s="192"/>
      <c r="H6" s="191"/>
    </row>
    <row r="7" spans="1:8" s="1" customFormat="1" ht="25.5" customHeight="1">
      <c r="A7" s="191"/>
      <c r="C7" s="204" t="s">
        <v>129</v>
      </c>
      <c r="D7" s="205" t="s">
        <v>130</v>
      </c>
      <c r="E7" s="205" t="s">
        <v>131</v>
      </c>
      <c r="F7" s="206" t="s">
        <v>132</v>
      </c>
      <c r="H7" s="191"/>
    </row>
    <row r="8" spans="1:8" ht="25.5" customHeight="1">
      <c r="A8" s="191"/>
      <c r="C8" s="207" t="s">
        <v>133</v>
      </c>
      <c r="D8" s="208" t="s">
        <v>134</v>
      </c>
      <c r="E8" s="209">
        <v>0</v>
      </c>
      <c r="F8" s="210">
        <v>0</v>
      </c>
      <c r="H8" s="191"/>
    </row>
    <row r="9" spans="1:8" ht="25.5" customHeight="1">
      <c r="A9" s="191"/>
      <c r="C9" s="207" t="s">
        <v>135</v>
      </c>
      <c r="D9" s="211">
        <v>2.5000000000000001E-2</v>
      </c>
      <c r="E9" s="209">
        <v>10000</v>
      </c>
      <c r="F9" s="210">
        <v>50</v>
      </c>
      <c r="H9" s="191"/>
    </row>
    <row r="10" spans="1:8" ht="25.5" customHeight="1">
      <c r="A10" s="191"/>
      <c r="C10" s="207" t="s">
        <v>136</v>
      </c>
      <c r="D10" s="211">
        <v>0.02</v>
      </c>
      <c r="E10" s="209">
        <v>100000</v>
      </c>
      <c r="F10" s="210">
        <f>(E10-E9)*D9+F9</f>
        <v>2300</v>
      </c>
      <c r="H10" s="191"/>
    </row>
    <row r="11" spans="1:8" ht="25.5" customHeight="1">
      <c r="A11" s="191"/>
      <c r="C11" s="207" t="s">
        <v>137</v>
      </c>
      <c r="D11" s="211">
        <v>1.4999999999999999E-2</v>
      </c>
      <c r="E11" s="209">
        <v>200000</v>
      </c>
      <c r="F11" s="210">
        <f t="shared" ref="F11:F17" si="0">(E11-E10)*D10+F10</f>
        <v>4300</v>
      </c>
      <c r="H11" s="191"/>
    </row>
    <row r="12" spans="1:8" ht="25.5" customHeight="1">
      <c r="A12" s="191"/>
      <c r="C12" s="207" t="s">
        <v>138</v>
      </c>
      <c r="D12" s="211">
        <v>0.01</v>
      </c>
      <c r="E12" s="209">
        <v>500000</v>
      </c>
      <c r="F12" s="210">
        <f t="shared" si="0"/>
        <v>8800</v>
      </c>
      <c r="H12" s="191"/>
    </row>
    <row r="13" spans="1:8" ht="25.5" customHeight="1">
      <c r="A13" s="191"/>
      <c r="C13" s="207" t="s">
        <v>139</v>
      </c>
      <c r="D13" s="211">
        <v>8.9999999999999993E-3</v>
      </c>
      <c r="E13" s="209">
        <v>1000000</v>
      </c>
      <c r="F13" s="210">
        <f t="shared" si="0"/>
        <v>13800</v>
      </c>
      <c r="H13" s="191"/>
    </row>
    <row r="14" spans="1:8" ht="25.5" customHeight="1">
      <c r="A14" s="191"/>
      <c r="C14" s="207" t="s">
        <v>140</v>
      </c>
      <c r="D14" s="211">
        <v>8.0000000000000002E-3</v>
      </c>
      <c r="E14" s="209">
        <v>2000000</v>
      </c>
      <c r="F14" s="210">
        <f t="shared" si="0"/>
        <v>22800</v>
      </c>
      <c r="H14" s="191"/>
    </row>
    <row r="15" spans="1:8" ht="25.5" customHeight="1">
      <c r="A15" s="191"/>
      <c r="C15" s="207" t="s">
        <v>141</v>
      </c>
      <c r="D15" s="211">
        <v>7.0000000000000001E-3</v>
      </c>
      <c r="E15" s="209">
        <v>5000000</v>
      </c>
      <c r="F15" s="210">
        <f t="shared" si="0"/>
        <v>46800</v>
      </c>
      <c r="H15" s="191"/>
    </row>
    <row r="16" spans="1:8" ht="25.5" customHeight="1">
      <c r="A16" s="191"/>
      <c r="C16" s="207" t="s">
        <v>142</v>
      </c>
      <c r="D16" s="211">
        <v>6.0000000000000001E-3</v>
      </c>
      <c r="E16" s="209">
        <v>10000000</v>
      </c>
      <c r="F16" s="210">
        <f t="shared" si="0"/>
        <v>81800</v>
      </c>
      <c r="H16" s="191"/>
    </row>
    <row r="17" spans="1:8" ht="25.5" customHeight="1" thickBot="1">
      <c r="A17" s="191"/>
      <c r="C17" s="212" t="s">
        <v>143</v>
      </c>
      <c r="D17" s="213">
        <v>5.0000000000000001E-3</v>
      </c>
      <c r="E17" s="214">
        <v>20000000</v>
      </c>
      <c r="F17" s="215">
        <f t="shared" si="0"/>
        <v>141800</v>
      </c>
      <c r="H17" s="191"/>
    </row>
    <row r="18" spans="1:8" ht="12" customHeight="1">
      <c r="A18" s="191"/>
      <c r="C18" s="216"/>
      <c r="D18" s="217"/>
      <c r="E18" s="218"/>
      <c r="F18" s="218"/>
      <c r="H18" s="191"/>
    </row>
    <row r="19" spans="1:8" ht="12" customHeight="1" thickBot="1">
      <c r="A19" s="191"/>
      <c r="C19" s="194"/>
      <c r="D19" s="195"/>
      <c r="E19" s="196"/>
      <c r="F19" s="196"/>
      <c r="H19" s="191"/>
    </row>
    <row r="20" spans="1:8" ht="30" customHeight="1" thickBot="1">
      <c r="A20" s="191"/>
      <c r="C20" s="219" t="s">
        <v>144</v>
      </c>
      <c r="D20" s="220" t="s">
        <v>155</v>
      </c>
      <c r="E20" s="221" t="s">
        <v>145</v>
      </c>
      <c r="F20" s="222">
        <f>IF(D20="否",0,IF(C5&lt;=1000,30,IF(C5&lt;=100000,(C5-E24)*D24+F24,IF(C5&lt;=896000,(C5-100000)*D25+F25,5000))))</f>
        <v>120</v>
      </c>
      <c r="H20" s="191"/>
    </row>
    <row r="21" spans="1:8" ht="4.5" customHeight="1" thickBot="1">
      <c r="A21" s="191"/>
      <c r="C21" s="216"/>
      <c r="D21" s="217"/>
      <c r="E21" s="218"/>
      <c r="F21" s="218"/>
      <c r="H21" s="191"/>
    </row>
    <row r="22" spans="1:8" ht="25.5" customHeight="1">
      <c r="A22" s="191"/>
      <c r="C22" s="204" t="s">
        <v>129</v>
      </c>
      <c r="D22" s="205" t="s">
        <v>130</v>
      </c>
      <c r="E22" s="205" t="s">
        <v>131</v>
      </c>
      <c r="F22" s="206" t="s">
        <v>132</v>
      </c>
      <c r="H22" s="191"/>
    </row>
    <row r="23" spans="1:8" ht="25.5" customHeight="1">
      <c r="A23" s="191"/>
      <c r="C23" s="207" t="s">
        <v>146</v>
      </c>
      <c r="D23" s="208" t="s">
        <v>147</v>
      </c>
      <c r="E23" s="209">
        <v>0</v>
      </c>
      <c r="F23" s="210">
        <v>0</v>
      </c>
      <c r="H23" s="191"/>
    </row>
    <row r="24" spans="1:8" ht="25.5" customHeight="1">
      <c r="A24" s="191"/>
      <c r="C24" s="207" t="s">
        <v>148</v>
      </c>
      <c r="D24" s="211">
        <v>0.01</v>
      </c>
      <c r="E24" s="209">
        <v>1000</v>
      </c>
      <c r="F24" s="210">
        <v>30</v>
      </c>
      <c r="H24" s="191"/>
    </row>
    <row r="25" spans="1:8" ht="25.5" customHeight="1" thickBot="1">
      <c r="A25" s="191"/>
      <c r="C25" s="212" t="s">
        <v>149</v>
      </c>
      <c r="D25" s="213">
        <v>5.0000000000000001E-3</v>
      </c>
      <c r="E25" s="214">
        <v>100000</v>
      </c>
      <c r="F25" s="215">
        <f>(E25-E24)*D24+F24</f>
        <v>1020</v>
      </c>
      <c r="H25" s="191"/>
    </row>
    <row r="26" spans="1:8" ht="12" customHeight="1">
      <c r="A26" s="191"/>
      <c r="C26" s="223"/>
      <c r="D26" s="224"/>
      <c r="E26" s="225"/>
      <c r="F26" s="225"/>
      <c r="H26" s="191"/>
    </row>
    <row r="27" spans="1:8" ht="12" customHeight="1" thickBot="1">
      <c r="A27" s="191"/>
      <c r="C27" s="216"/>
      <c r="D27" s="217"/>
      <c r="E27" s="218"/>
      <c r="F27" s="218"/>
      <c r="H27" s="191"/>
    </row>
    <row r="28" spans="1:8" ht="30" customHeight="1" thickBot="1">
      <c r="A28" s="191"/>
      <c r="C28" s="226" t="s">
        <v>150</v>
      </c>
      <c r="D28" s="227">
        <f>C5+F20</f>
        <v>10120</v>
      </c>
      <c r="E28" s="221" t="s">
        <v>151</v>
      </c>
      <c r="F28" s="228">
        <f>IF(D28&lt;=10000,50,IF(D28&lt;=500000,(D28-E32)*D32+F32,IF(D28&lt;=5000000,(D28-E33)*D33+F33,IF(D28&lt;=10000000,(D28-E34)*D34+F34,(D28-E35)*D35+F35))))</f>
        <v>51.8</v>
      </c>
      <c r="H28" s="191"/>
    </row>
    <row r="29" spans="1:8" ht="4.5" customHeight="1" thickBot="1">
      <c r="A29" s="191"/>
      <c r="C29" s="216"/>
      <c r="D29" s="217"/>
      <c r="E29" s="218"/>
      <c r="F29" s="218"/>
      <c r="H29" s="191"/>
    </row>
    <row r="30" spans="1:8" s="1" customFormat="1" ht="25.5" customHeight="1">
      <c r="A30" s="191"/>
      <c r="C30" s="204" t="s">
        <v>129</v>
      </c>
      <c r="D30" s="205" t="s">
        <v>130</v>
      </c>
      <c r="E30" s="205" t="s">
        <v>131</v>
      </c>
      <c r="F30" s="206" t="s">
        <v>132</v>
      </c>
      <c r="H30" s="191"/>
    </row>
    <row r="31" spans="1:8" ht="25.5" customHeight="1">
      <c r="A31" s="191"/>
      <c r="C31" s="207" t="s">
        <v>133</v>
      </c>
      <c r="D31" s="208" t="s">
        <v>134</v>
      </c>
      <c r="E31" s="209">
        <v>0</v>
      </c>
      <c r="F31" s="210">
        <v>0</v>
      </c>
      <c r="H31" s="191"/>
    </row>
    <row r="32" spans="1:8" ht="25.5" customHeight="1">
      <c r="A32" s="191"/>
      <c r="C32" s="207" t="s">
        <v>152</v>
      </c>
      <c r="D32" s="211">
        <v>1.4999999999999999E-2</v>
      </c>
      <c r="E32" s="209">
        <v>10000</v>
      </c>
      <c r="F32" s="210">
        <v>50</v>
      </c>
      <c r="H32" s="191"/>
    </row>
    <row r="33" spans="1:8" ht="25.5" customHeight="1">
      <c r="A33" s="191"/>
      <c r="C33" s="207" t="s">
        <v>153</v>
      </c>
      <c r="D33" s="211">
        <v>0.01</v>
      </c>
      <c r="E33" s="209">
        <v>500000</v>
      </c>
      <c r="F33" s="210">
        <f>(E33-E32)*D32+F32</f>
        <v>7400</v>
      </c>
      <c r="H33" s="191"/>
    </row>
    <row r="34" spans="1:8" ht="25.5" customHeight="1">
      <c r="A34" s="191"/>
      <c r="C34" s="207" t="s">
        <v>141</v>
      </c>
      <c r="D34" s="211">
        <v>5.0000000000000001E-3</v>
      </c>
      <c r="E34" s="209">
        <v>5000000</v>
      </c>
      <c r="F34" s="210">
        <f t="shared" ref="F34:F35" si="1">(E34-E33)*D33+F33</f>
        <v>52400</v>
      </c>
      <c r="H34" s="191"/>
    </row>
    <row r="35" spans="1:8" ht="25.5" customHeight="1" thickBot="1">
      <c r="A35" s="191"/>
      <c r="C35" s="212" t="s">
        <v>154</v>
      </c>
      <c r="D35" s="213">
        <v>1E-3</v>
      </c>
      <c r="E35" s="214">
        <v>10000000</v>
      </c>
      <c r="F35" s="215">
        <f t="shared" si="1"/>
        <v>77400</v>
      </c>
      <c r="H35" s="191"/>
    </row>
    <row r="36" spans="1:8" ht="23.25" hidden="1" customHeight="1">
      <c r="A36" s="191"/>
      <c r="C36" s="216"/>
      <c r="D36" s="217"/>
      <c r="E36" s="218"/>
      <c r="F36" s="218"/>
      <c r="H36" s="191"/>
    </row>
    <row r="37" spans="1:8" ht="23.25" hidden="1" customHeight="1">
      <c r="A37" s="191"/>
      <c r="C37" s="216"/>
      <c r="D37" s="217"/>
      <c r="E37" s="218"/>
      <c r="F37" s="218"/>
      <c r="H37" s="191"/>
    </row>
    <row r="38" spans="1:8" ht="24" hidden="1" customHeight="1">
      <c r="A38" s="191"/>
      <c r="C38" s="216"/>
      <c r="D38" s="217"/>
      <c r="E38" s="218"/>
      <c r="F38" s="218"/>
      <c r="H38" s="191"/>
    </row>
    <row r="39" spans="1:8" ht="5.25" customHeight="1">
      <c r="A39" s="191"/>
      <c r="H39" s="191"/>
    </row>
    <row r="40" spans="1:8" ht="6.75" customHeight="1">
      <c r="A40" s="191"/>
      <c r="B40" s="191"/>
      <c r="C40" s="191"/>
      <c r="D40" s="191"/>
      <c r="E40" s="191"/>
      <c r="F40" s="191"/>
      <c r="G40" s="191"/>
      <c r="H40" s="191"/>
    </row>
    <row r="41" spans="1:8" ht="13.5" hidden="1" customHeight="1"/>
    <row r="42" spans="1:8" ht="13.5" hidden="1" customHeight="1"/>
    <row r="43" spans="1:8" ht="13.5" hidden="1" customHeight="1"/>
    <row r="44" spans="1:8" ht="13.5" hidden="1" customHeight="1"/>
    <row r="45" spans="1:8" ht="13.5" hidden="1" customHeight="1"/>
    <row r="46" spans="1:8" ht="13.5" hidden="1" customHeight="1"/>
    <row r="47" spans="1:8" ht="13.5" hidden="1" customHeight="1"/>
    <row r="48" spans="1:8" ht="13.5" hidden="1" customHeight="1"/>
    <row r="49" ht="13.5" hidden="1" customHeight="1"/>
  </sheetData>
  <sheetProtection password="926F" sheet="1" objects="1" scenarios="1" selectLockedCells="1"/>
  <phoneticPr fontId="86" type="noConversion"/>
  <dataValidations count="1">
    <dataValidation type="list" allowBlank="1" showInputMessage="1" showErrorMessage="1" sqref="D20">
      <formula1>"是,否"</formula1>
    </dataValidation>
  </dataValidations>
  <printOptions horizontalCentered="1" verticalCentered="1"/>
  <pageMargins left="0" right="0" top="0.35433070866141736" bottom="0.35433070866141736" header="0.31496062992125984" footer="0.31496062992125984"/>
  <pageSetup paperSize="132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版权声明</vt:lpstr>
      <vt:lpstr>核算表</vt:lpstr>
      <vt:lpstr>核算表!Print_Area</vt:lpstr>
    </vt:vector>
  </TitlesOfParts>
  <Company>宁波新大榭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island</dc:creator>
  <cp:lastModifiedBy>Zhanglb</cp:lastModifiedBy>
  <cp:lastPrinted>2023-05-17T05:47:56Z</cp:lastPrinted>
  <dcterms:created xsi:type="dcterms:W3CDTF">2010-06-06T15:31:21Z</dcterms:created>
  <dcterms:modified xsi:type="dcterms:W3CDTF">2023-05-04T05:59:35Z</dcterms:modified>
</cp:coreProperties>
</file>